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codeName="{372AB895-14C1-FC20-EB20-F1B4BCFD95AE}"/>
  <workbookPr codeName="EstaPasta_de_trabalho"/>
  <mc:AlternateContent xmlns:mc="http://schemas.openxmlformats.org/markup-compatibility/2006">
    <mc:Choice Requires="x15">
      <x15ac:absPath xmlns:x15ac="http://schemas.microsoft.com/office/spreadsheetml/2010/11/ac" url="F:\andreia\Documents\NOVA PADUA\PPA LDO E LOA\LDO 2025\ARQUIVOS ATUALIZADOS LDO 2025\"/>
    </mc:Choice>
  </mc:AlternateContent>
  <xr:revisionPtr revIDLastSave="0" documentId="13_ncr:1_{7E50983A-A78C-4367-90D7-D011EE8AF805}" xr6:coauthVersionLast="47" xr6:coauthVersionMax="47" xr10:uidLastSave="{00000000-0000-0000-0000-000000000000}"/>
  <bookViews>
    <workbookView xWindow="28680" yWindow="-120" windowWidth="29040" windowHeight="15720" tabRatio="852" firstSheet="3" activeTab="15" xr2:uid="{9FF9B7DD-7A72-4E36-8482-5C6A5067442B}"/>
  </bookViews>
  <sheets>
    <sheet name="Parâmetros" sheetId="7" r:id="rId1"/>
    <sheet name="Projeções" sheetId="26" r:id="rId2"/>
    <sheet name="Projeções - RPPS" sheetId="52" r:id="rId3"/>
    <sheet name="RCL" sheetId="45" r:id="rId4"/>
    <sheet name="Pessoal" sheetId="46" r:id="rId5"/>
    <sheet name="Dívida" sheetId="4" r:id="rId6"/>
    <sheet name=" Dem-1-Metas" sheetId="49" r:id="rId7"/>
    <sheet name=" Dem-2-Avalia" sheetId="50" r:id="rId8"/>
    <sheet name="Dem-3-Comp" sheetId="51" r:id="rId9"/>
    <sheet name="Dem-4-Patr" sheetId="31" r:id="rId10"/>
    <sheet name="Dem-5-Alien" sheetId="32" r:id="rId11"/>
    <sheet name="Dem-6-RPPS" sheetId="40" r:id="rId12"/>
    <sheet name="Dem-7-Renúnci" sheetId="34" r:id="rId13"/>
    <sheet name="Dem-8-Docc" sheetId="35" r:id="rId14"/>
    <sheet name="Anexo Riscos" sheetId="44" r:id="rId15"/>
    <sheet name="Anexo IV - Cons do Patrimônio" sheetId="42" r:id="rId16"/>
  </sheets>
  <externalReferences>
    <externalReference r:id="rId17"/>
    <externalReference r:id="rId18"/>
    <externalReference r:id="rId19"/>
  </externalReferences>
  <definedNames>
    <definedName name="_xlnm.Print_Area" localSheetId="0">Parâmetros!$A$7:$G$26</definedName>
    <definedName name="_xlnm.Print_Area" localSheetId="1">Projeções!$A$1:$AM$174</definedName>
    <definedName name="Z_16B3F100_CCE8_11D8_BD62_000C6E3CD3F1_.wvu.Cols" localSheetId="0" hidden="1">Parâmetros!$C:$C,Parâmetros!#REF!</definedName>
    <definedName name="Z_16B3F100_CCE8_11D8_BD62_000C6E3CD3F1_.wvu.Rows" localSheetId="5" hidden="1">Dívida!$24:$24,Dívida!#REF!</definedName>
    <definedName name="Z_16B3F100_CCE8_11D8_BD62_000C6E3CD3F1_.wvu.Rows" localSheetId="0" hidden="1">Parâmetros!$1:$6,Parâmetros!#REF!,Parâmetros!$12:$12</definedName>
  </definedNames>
  <calcPr calcId="181029"/>
  <customWorkbookViews>
    <customWorkbookView name="Julio - Modo de exibição pessoal" guid="{16B3F100-CCE8-11D8-BD62-000C6E3CD3F1}" mergeInterval="0" personalView="1" maximized="1" windowWidth="796" windowHeight="438" tabRatio="602" activeSheetId="17"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1" i="40" l="1"/>
  <c r="D96" i="40"/>
  <c r="E96" i="40" s="1"/>
  <c r="D97" i="40"/>
  <c r="D98" i="40"/>
  <c r="D99" i="40"/>
  <c r="D100" i="40"/>
  <c r="D101" i="40"/>
  <c r="D102" i="40"/>
  <c r="D103" i="40"/>
  <c r="D104" i="40"/>
  <c r="D105" i="40"/>
  <c r="D106" i="40"/>
  <c r="D107" i="40"/>
  <c r="D108" i="40"/>
  <c r="D109" i="40"/>
  <c r="D110" i="40"/>
  <c r="D112" i="40"/>
  <c r="D113" i="40"/>
  <c r="D114" i="40"/>
  <c r="D115" i="40"/>
  <c r="D116" i="40"/>
  <c r="D117" i="40"/>
  <c r="D118" i="40"/>
  <c r="D119" i="40"/>
  <c r="D120" i="40"/>
  <c r="D121" i="40"/>
  <c r="D122" i="40"/>
  <c r="D123" i="40"/>
  <c r="D124" i="40"/>
  <c r="D125" i="40"/>
  <c r="D126" i="40"/>
  <c r="D127" i="40"/>
  <c r="D128" i="40"/>
  <c r="D129" i="40"/>
  <c r="D130" i="40"/>
  <c r="D131" i="40"/>
  <c r="D132" i="40"/>
  <c r="D133" i="40"/>
  <c r="D134" i="40"/>
  <c r="D135" i="40"/>
  <c r="D136" i="40"/>
  <c r="D137" i="40"/>
  <c r="D138" i="40"/>
  <c r="D139" i="40"/>
  <c r="D140" i="40"/>
  <c r="D141" i="40"/>
  <c r="D142" i="40"/>
  <c r="D143" i="40"/>
  <c r="D144" i="40"/>
  <c r="D145" i="40"/>
  <c r="D146" i="40"/>
  <c r="D147" i="40"/>
  <c r="D148" i="40"/>
  <c r="D149" i="40"/>
  <c r="D150" i="40"/>
  <c r="D151" i="40"/>
  <c r="D152" i="40"/>
  <c r="D153" i="40"/>
  <c r="D154" i="40"/>
  <c r="D155" i="40"/>
  <c r="D156" i="40"/>
  <c r="D157" i="40"/>
  <c r="D158" i="40"/>
  <c r="D159" i="40"/>
  <c r="D160" i="40"/>
  <c r="D161" i="40"/>
  <c r="D162" i="40"/>
  <c r="D163" i="40"/>
  <c r="D164" i="40"/>
  <c r="D165" i="40"/>
  <c r="D166" i="40"/>
  <c r="D167" i="40"/>
  <c r="D168" i="40"/>
  <c r="D169" i="40"/>
  <c r="D95" i="40"/>
  <c r="E74" i="40"/>
  <c r="E75" i="40" s="1"/>
  <c r="E46" i="40"/>
  <c r="E57" i="40" s="1"/>
  <c r="E84" i="40" s="1"/>
  <c r="E83" i="40" s="1"/>
  <c r="E88" i="40" s="1"/>
  <c r="E30" i="40"/>
  <c r="E35" i="40"/>
  <c r="E79" i="40"/>
  <c r="E21" i="40"/>
  <c r="E13" i="40"/>
  <c r="E12" i="40" s="1"/>
  <c r="B83" i="40"/>
  <c r="B79" i="40"/>
  <c r="B75" i="40"/>
  <c r="B88" i="40"/>
  <c r="B86" i="40"/>
  <c r="B46" i="40"/>
  <c r="B57" i="40" s="1"/>
  <c r="B21" i="40"/>
  <c r="B11" i="40" s="1"/>
  <c r="B43" i="40" s="1"/>
  <c r="B59" i="40" s="1"/>
  <c r="B30" i="40"/>
  <c r="D83" i="40"/>
  <c r="D86" i="40" s="1"/>
  <c r="D79" i="40"/>
  <c r="D74" i="40"/>
  <c r="D75" i="40" s="1"/>
  <c r="D46" i="40"/>
  <c r="D57" i="40" s="1"/>
  <c r="D13" i="40"/>
  <c r="D12" i="40" s="1"/>
  <c r="D21" i="40"/>
  <c r="D33" i="40"/>
  <c r="D30" i="40" s="1"/>
  <c r="C15" i="32"/>
  <c r="B15" i="32"/>
  <c r="B18" i="31"/>
  <c r="D18" i="31"/>
  <c r="E21" i="51"/>
  <c r="E20" i="51"/>
  <c r="E19" i="51"/>
  <c r="E16" i="51"/>
  <c r="E15" i="51"/>
  <c r="E14" i="51"/>
  <c r="E13" i="51"/>
  <c r="E12" i="51"/>
  <c r="E11" i="51"/>
  <c r="E10" i="51"/>
  <c r="E9" i="51"/>
  <c r="B20" i="51"/>
  <c r="B19" i="51"/>
  <c r="B16" i="51"/>
  <c r="B15" i="51"/>
  <c r="B14" i="51"/>
  <c r="B12" i="51"/>
  <c r="B11" i="51"/>
  <c r="B10" i="51"/>
  <c r="B9" i="51"/>
  <c r="B21" i="50"/>
  <c r="B20" i="50"/>
  <c r="B17" i="50"/>
  <c r="B15" i="50"/>
  <c r="B13" i="50"/>
  <c r="B12" i="50"/>
  <c r="B11" i="50"/>
  <c r="B10" i="50"/>
  <c r="D12" i="4"/>
  <c r="E9" i="4"/>
  <c r="D9" i="4"/>
  <c r="H86" i="26"/>
  <c r="H62" i="26"/>
  <c r="H12" i="26"/>
  <c r="H127" i="26"/>
  <c r="H59" i="26"/>
  <c r="H9" i="52"/>
  <c r="H39" i="26"/>
  <c r="H51" i="26"/>
  <c r="H49" i="26"/>
  <c r="H46" i="26"/>
  <c r="H44" i="26"/>
  <c r="I44" i="26" s="1"/>
  <c r="J44" i="26" s="1"/>
  <c r="H10" i="26"/>
  <c r="G104" i="26"/>
  <c r="G103" i="26"/>
  <c r="G102" i="26"/>
  <c r="H102" i="26" s="1"/>
  <c r="I102" i="26" s="1"/>
  <c r="J102" i="26" s="1"/>
  <c r="G94" i="26"/>
  <c r="G92" i="26" s="1"/>
  <c r="G82" i="26"/>
  <c r="G78" i="26" s="1"/>
  <c r="G75" i="26"/>
  <c r="G70" i="26" s="1"/>
  <c r="G65" i="26" s="1"/>
  <c r="G69" i="26"/>
  <c r="G66" i="26"/>
  <c r="H66" i="26" s="1"/>
  <c r="I66" i="26" s="1"/>
  <c r="G62" i="26"/>
  <c r="G58" i="26"/>
  <c r="G50" i="26"/>
  <c r="G57" i="26"/>
  <c r="G54" i="26"/>
  <c r="G53" i="26"/>
  <c r="G52" i="26"/>
  <c r="G51" i="26"/>
  <c r="G49" i="26"/>
  <c r="G46" i="26"/>
  <c r="G45" i="26"/>
  <c r="G44" i="26"/>
  <c r="G43" i="26"/>
  <c r="G42" i="26"/>
  <c r="G40" i="26"/>
  <c r="G41" i="26"/>
  <c r="G39" i="26"/>
  <c r="G36" i="26"/>
  <c r="G26" i="26"/>
  <c r="G24" i="26" s="1"/>
  <c r="G22" i="26" s="1"/>
  <c r="G25" i="26"/>
  <c r="G23" i="26"/>
  <c r="G14" i="26"/>
  <c r="G13" i="26"/>
  <c r="G12" i="26"/>
  <c r="G11" i="26"/>
  <c r="G10" i="26"/>
  <c r="I144" i="26"/>
  <c r="H144" i="26"/>
  <c r="H133" i="26"/>
  <c r="H129" i="26"/>
  <c r="G117" i="26"/>
  <c r="G120" i="26"/>
  <c r="G135" i="26"/>
  <c r="G129" i="26"/>
  <c r="G119" i="26"/>
  <c r="H119" i="26" s="1"/>
  <c r="G144" i="26"/>
  <c r="G133" i="26"/>
  <c r="G127" i="26"/>
  <c r="G126" i="26"/>
  <c r="G166" i="26" s="1"/>
  <c r="G122" i="26"/>
  <c r="G121" i="26"/>
  <c r="G134" i="26"/>
  <c r="G128" i="26"/>
  <c r="G118" i="26"/>
  <c r="F135" i="26"/>
  <c r="H135" i="26" s="1"/>
  <c r="I135" i="26" s="1"/>
  <c r="J135" i="26" s="1"/>
  <c r="F129" i="26"/>
  <c r="F126" i="26" s="1"/>
  <c r="F119" i="26"/>
  <c r="F133" i="26"/>
  <c r="F117" i="26"/>
  <c r="F104" i="26"/>
  <c r="H104" i="26"/>
  <c r="I104" i="26" s="1"/>
  <c r="J104" i="26" s="1"/>
  <c r="F102" i="26"/>
  <c r="F46" i="26"/>
  <c r="F103" i="26"/>
  <c r="E102" i="26"/>
  <c r="D102" i="26"/>
  <c r="F25" i="26"/>
  <c r="H25" i="26" s="1"/>
  <c r="F12" i="26"/>
  <c r="H45" i="52"/>
  <c r="H46" i="52"/>
  <c r="J53" i="52"/>
  <c r="I53" i="52"/>
  <c r="J45" i="52"/>
  <c r="I45" i="52"/>
  <c r="H17" i="52"/>
  <c r="H26" i="52"/>
  <c r="F10" i="52"/>
  <c r="G53" i="52"/>
  <c r="G45" i="52"/>
  <c r="G46" i="52"/>
  <c r="G10" i="52"/>
  <c r="G26" i="52"/>
  <c r="G17" i="52"/>
  <c r="G8" i="52"/>
  <c r="G9" i="52"/>
  <c r="E129" i="26"/>
  <c r="D129" i="26"/>
  <c r="E103" i="26"/>
  <c r="E101" i="26" s="1"/>
  <c r="D103" i="26"/>
  <c r="D101" i="26" s="1"/>
  <c r="H100" i="26"/>
  <c r="I100" i="26" s="1"/>
  <c r="J100" i="26" s="1"/>
  <c r="F98" i="26"/>
  <c r="H99" i="26"/>
  <c r="D39" i="26"/>
  <c r="D26" i="26"/>
  <c r="D25" i="26"/>
  <c r="E12" i="26"/>
  <c r="D12" i="26"/>
  <c r="D9" i="26" s="1"/>
  <c r="E11" i="26"/>
  <c r="E10" i="26"/>
  <c r="E17" i="51"/>
  <c r="E18" i="51" s="1"/>
  <c r="B18" i="50"/>
  <c r="C17" i="51" s="1"/>
  <c r="C21" i="32"/>
  <c r="D21" i="32"/>
  <c r="B11" i="32"/>
  <c r="B16" i="32" s="1"/>
  <c r="C11" i="32"/>
  <c r="C16" i="32" s="1"/>
  <c r="D11" i="32"/>
  <c r="D16" i="32" s="1"/>
  <c r="B37" i="51"/>
  <c r="B36" i="51"/>
  <c r="B35" i="51"/>
  <c r="B32" i="51"/>
  <c r="E36" i="51"/>
  <c r="E35" i="51"/>
  <c r="E32" i="51"/>
  <c r="E31" i="51"/>
  <c r="E30" i="51"/>
  <c r="E29" i="51"/>
  <c r="E28" i="51"/>
  <c r="E27" i="51"/>
  <c r="B31" i="51"/>
  <c r="B30" i="51"/>
  <c r="B29" i="51"/>
  <c r="B28" i="51"/>
  <c r="B27" i="51"/>
  <c r="B17" i="51"/>
  <c r="B33" i="51" s="1"/>
  <c r="C9" i="51"/>
  <c r="D9" i="51"/>
  <c r="C10" i="51"/>
  <c r="F10" i="51"/>
  <c r="C26" i="51"/>
  <c r="C11" i="51"/>
  <c r="C27" i="51" s="1"/>
  <c r="C12" i="51"/>
  <c r="C28" i="51"/>
  <c r="C13" i="51"/>
  <c r="C29" i="51" s="1"/>
  <c r="C14" i="51"/>
  <c r="D14" i="51" s="1"/>
  <c r="C15" i="51"/>
  <c r="D15" i="51" s="1"/>
  <c r="C16" i="51"/>
  <c r="C32" i="51" s="1"/>
  <c r="C19" i="51"/>
  <c r="F19" i="51" s="1"/>
  <c r="C20" i="51"/>
  <c r="F9" i="51"/>
  <c r="B58" i="51"/>
  <c r="B59" i="51" s="1"/>
  <c r="B19" i="50"/>
  <c r="C18" i="51" s="1"/>
  <c r="D22" i="50"/>
  <c r="D21" i="50"/>
  <c r="D20" i="50"/>
  <c r="D18" i="50"/>
  <c r="D17" i="50"/>
  <c r="D16" i="50"/>
  <c r="D14" i="50"/>
  <c r="D13" i="50"/>
  <c r="D12" i="50"/>
  <c r="D11" i="50"/>
  <c r="D10" i="50"/>
  <c r="B7" i="4"/>
  <c r="B15" i="4" s="1"/>
  <c r="C7" i="4"/>
  <c r="E20" i="50" s="1"/>
  <c r="H20" i="50" s="1"/>
  <c r="I20" i="50" s="1"/>
  <c r="D7" i="4"/>
  <c r="D15" i="50"/>
  <c r="G31" i="52"/>
  <c r="F31" i="52"/>
  <c r="E31" i="52"/>
  <c r="D31" i="52"/>
  <c r="G28" i="52"/>
  <c r="F28" i="52"/>
  <c r="E28" i="52"/>
  <c r="D28" i="52"/>
  <c r="D25" i="52"/>
  <c r="G18" i="52"/>
  <c r="F18" i="52"/>
  <c r="E18" i="52"/>
  <c r="D18" i="52"/>
  <c r="F8" i="52"/>
  <c r="F74" i="52" s="1"/>
  <c r="E8" i="52"/>
  <c r="D8" i="52"/>
  <c r="D74" i="52" s="1"/>
  <c r="H15" i="52"/>
  <c r="I15" i="52"/>
  <c r="J15" i="52"/>
  <c r="H11" i="52"/>
  <c r="I11" i="52"/>
  <c r="J11" i="52"/>
  <c r="H13" i="52"/>
  <c r="I13" i="52"/>
  <c r="J13" i="52"/>
  <c r="A1" i="42"/>
  <c r="D44" i="52"/>
  <c r="E44" i="52"/>
  <c r="F44" i="52"/>
  <c r="G44" i="52"/>
  <c r="B26" i="51"/>
  <c r="B25" i="51"/>
  <c r="E26" i="51"/>
  <c r="F26" i="51" s="1"/>
  <c r="E25" i="51"/>
  <c r="G98" i="26"/>
  <c r="D98" i="26"/>
  <c r="D95" i="26"/>
  <c r="G95" i="26"/>
  <c r="F95" i="26"/>
  <c r="E95" i="26"/>
  <c r="F70" i="26"/>
  <c r="E70" i="26"/>
  <c r="D70" i="26"/>
  <c r="F24" i="26"/>
  <c r="F22" i="26" s="1"/>
  <c r="E24" i="26"/>
  <c r="E22" i="26"/>
  <c r="D24" i="26"/>
  <c r="D22" i="26" s="1"/>
  <c r="G16" i="26"/>
  <c r="G15" i="26"/>
  <c r="F16" i="26"/>
  <c r="F15" i="26"/>
  <c r="E16" i="26"/>
  <c r="E15" i="26"/>
  <c r="D16" i="26"/>
  <c r="D15" i="26"/>
  <c r="J90" i="52"/>
  <c r="H90" i="52"/>
  <c r="G90" i="52"/>
  <c r="F90" i="52"/>
  <c r="E90" i="52"/>
  <c r="D90" i="52"/>
  <c r="J89" i="52"/>
  <c r="J91" i="52"/>
  <c r="H89" i="52"/>
  <c r="H91" i="52" s="1"/>
  <c r="G89" i="52"/>
  <c r="G91" i="52"/>
  <c r="F89" i="52"/>
  <c r="F91" i="52"/>
  <c r="E89" i="52"/>
  <c r="E91" i="52"/>
  <c r="D89" i="52"/>
  <c r="D91" i="52" s="1"/>
  <c r="J88" i="52"/>
  <c r="H88" i="52"/>
  <c r="G88" i="52"/>
  <c r="F88" i="52"/>
  <c r="E88" i="52"/>
  <c r="D88" i="52"/>
  <c r="J86" i="52"/>
  <c r="H86" i="52"/>
  <c r="G86" i="52"/>
  <c r="F86" i="52"/>
  <c r="E86" i="52"/>
  <c r="D86" i="52"/>
  <c r="J84" i="52"/>
  <c r="H84" i="52"/>
  <c r="G84" i="52"/>
  <c r="F84" i="52"/>
  <c r="E84" i="52"/>
  <c r="D84" i="52"/>
  <c r="J82" i="52"/>
  <c r="H82" i="52"/>
  <c r="G82" i="52"/>
  <c r="F82" i="52"/>
  <c r="E82" i="52"/>
  <c r="D82" i="52"/>
  <c r="J81" i="52"/>
  <c r="H81" i="52"/>
  <c r="G81" i="52"/>
  <c r="F81" i="52"/>
  <c r="E81" i="52"/>
  <c r="D81" i="52"/>
  <c r="J80" i="52"/>
  <c r="H80" i="52"/>
  <c r="G80" i="52"/>
  <c r="F80" i="52"/>
  <c r="E80" i="52"/>
  <c r="D80" i="52"/>
  <c r="J79" i="52"/>
  <c r="H79" i="52"/>
  <c r="G79" i="52"/>
  <c r="F79" i="52"/>
  <c r="E79" i="52"/>
  <c r="D79" i="52"/>
  <c r="J78" i="52"/>
  <c r="H78" i="52"/>
  <c r="G78" i="52"/>
  <c r="F78" i="52"/>
  <c r="E78" i="52"/>
  <c r="D78" i="52"/>
  <c r="J77" i="52"/>
  <c r="H77" i="52"/>
  <c r="G77" i="52"/>
  <c r="F77" i="52"/>
  <c r="E77" i="52"/>
  <c r="D77" i="52"/>
  <c r="G76" i="52"/>
  <c r="F76" i="52"/>
  <c r="E76" i="52"/>
  <c r="D76" i="52"/>
  <c r="G71" i="52"/>
  <c r="F71" i="52"/>
  <c r="E71" i="52"/>
  <c r="H68" i="52"/>
  <c r="H67" i="52"/>
  <c r="H66" i="52"/>
  <c r="G65" i="52"/>
  <c r="F65" i="52"/>
  <c r="E65" i="52"/>
  <c r="D65" i="52"/>
  <c r="H64" i="52"/>
  <c r="H63" i="52"/>
  <c r="I63" i="52"/>
  <c r="J63" i="52"/>
  <c r="H62" i="52"/>
  <c r="G61" i="52"/>
  <c r="F61" i="52"/>
  <c r="E61" i="52"/>
  <c r="D61" i="52"/>
  <c r="H60" i="52"/>
  <c r="I60" i="52"/>
  <c r="J60" i="52"/>
  <c r="H59" i="52"/>
  <c r="I59" i="52"/>
  <c r="G57" i="52"/>
  <c r="F57" i="52"/>
  <c r="F85" i="52"/>
  <c r="E57" i="52"/>
  <c r="D57" i="52"/>
  <c r="D56" i="52" s="1"/>
  <c r="H55" i="52"/>
  <c r="I55" i="52"/>
  <c r="G52" i="52"/>
  <c r="G87" i="52" s="1"/>
  <c r="F52" i="52"/>
  <c r="F87" i="52" s="1"/>
  <c r="E52" i="52"/>
  <c r="E87" i="52" s="1"/>
  <c r="D52" i="52"/>
  <c r="D87" i="52"/>
  <c r="H51" i="52"/>
  <c r="I51" i="52"/>
  <c r="H50" i="52"/>
  <c r="H49" i="52"/>
  <c r="I49" i="52"/>
  <c r="J49" i="52"/>
  <c r="G48" i="52"/>
  <c r="F48" i="52"/>
  <c r="E48" i="52"/>
  <c r="D48" i="52"/>
  <c r="D43" i="52" s="1"/>
  <c r="D69" i="52" s="1"/>
  <c r="D83" i="52" s="1"/>
  <c r="H47" i="52"/>
  <c r="A38" i="52"/>
  <c r="A37" i="52"/>
  <c r="H34" i="52"/>
  <c r="I34" i="52"/>
  <c r="J34" i="52"/>
  <c r="H33" i="52"/>
  <c r="I33" i="52"/>
  <c r="J33" i="52"/>
  <c r="H32" i="52"/>
  <c r="H30" i="52"/>
  <c r="I30" i="52"/>
  <c r="J30" i="52"/>
  <c r="H29" i="52"/>
  <c r="I29" i="52"/>
  <c r="H27" i="52"/>
  <c r="F25" i="52"/>
  <c r="E25" i="52"/>
  <c r="H24" i="52"/>
  <c r="I24" i="52"/>
  <c r="J24" i="52"/>
  <c r="H23" i="52"/>
  <c r="I23" i="52"/>
  <c r="J23" i="52"/>
  <c r="H22" i="52"/>
  <c r="I22" i="52"/>
  <c r="J22" i="52"/>
  <c r="H21" i="52"/>
  <c r="H20" i="52"/>
  <c r="I20" i="52"/>
  <c r="J20" i="52"/>
  <c r="H19" i="52"/>
  <c r="I19" i="52" s="1"/>
  <c r="I18" i="52" s="1"/>
  <c r="H16" i="52"/>
  <c r="I16" i="52"/>
  <c r="J16" i="52"/>
  <c r="H14" i="52"/>
  <c r="I14" i="52"/>
  <c r="J14" i="52"/>
  <c r="H12" i="52"/>
  <c r="I12" i="52"/>
  <c r="J12" i="52"/>
  <c r="I10" i="52"/>
  <c r="J10" i="52" s="1"/>
  <c r="G75" i="52"/>
  <c r="E75" i="52"/>
  <c r="D7" i="52"/>
  <c r="D42" i="52"/>
  <c r="E42" i="52"/>
  <c r="F42" i="52"/>
  <c r="G42" i="52"/>
  <c r="H42" i="52"/>
  <c r="I42" i="52"/>
  <c r="J42" i="52"/>
  <c r="A2" i="52"/>
  <c r="A1" i="52"/>
  <c r="H97" i="26"/>
  <c r="I97" i="26"/>
  <c r="J97" i="26"/>
  <c r="H96" i="26"/>
  <c r="I96" i="26"/>
  <c r="I95" i="26" s="1"/>
  <c r="B8" i="51"/>
  <c r="B24" i="51"/>
  <c r="A1" i="51"/>
  <c r="A1" i="50"/>
  <c r="A1" i="49"/>
  <c r="A2" i="4"/>
  <c r="A2" i="46"/>
  <c r="L17" i="42"/>
  <c r="H17" i="42"/>
  <c r="C9" i="45"/>
  <c r="D9" i="45"/>
  <c r="C13" i="45"/>
  <c r="D13" i="45"/>
  <c r="C11" i="45"/>
  <c r="D11" i="45"/>
  <c r="F27" i="31"/>
  <c r="D27" i="31"/>
  <c r="B27" i="31"/>
  <c r="F20" i="31"/>
  <c r="F12" i="31"/>
  <c r="G8" i="31" s="1"/>
  <c r="G10" i="31"/>
  <c r="B22" i="34"/>
  <c r="H146" i="26"/>
  <c r="H141" i="26"/>
  <c r="I141" i="26"/>
  <c r="J141" i="26"/>
  <c r="H124" i="26"/>
  <c r="I124" i="26"/>
  <c r="J124" i="26"/>
  <c r="G143" i="26"/>
  <c r="D23" i="4" s="1"/>
  <c r="F143" i="26"/>
  <c r="C23" i="4" s="1"/>
  <c r="E143" i="26"/>
  <c r="D143" i="26"/>
  <c r="G137" i="26"/>
  <c r="F137" i="26"/>
  <c r="E137" i="26"/>
  <c r="D137" i="26"/>
  <c r="G132" i="26"/>
  <c r="G164" i="26" s="1"/>
  <c r="E132" i="26"/>
  <c r="E131" i="26" s="1"/>
  <c r="E164" i="26"/>
  <c r="D132" i="26"/>
  <c r="D131" i="26" s="1"/>
  <c r="D126" i="26"/>
  <c r="D166" i="26" s="1"/>
  <c r="D121" i="26"/>
  <c r="F121" i="26"/>
  <c r="C22" i="4" s="1"/>
  <c r="E121" i="26"/>
  <c r="F116" i="26"/>
  <c r="E116" i="26"/>
  <c r="D116" i="26"/>
  <c r="D115" i="26" s="1"/>
  <c r="A1" i="40"/>
  <c r="I49" i="26"/>
  <c r="J49" i="26" s="1"/>
  <c r="E38" i="26"/>
  <c r="D38" i="26"/>
  <c r="B16" i="7" s="1"/>
  <c r="H72" i="26"/>
  <c r="A1" i="32"/>
  <c r="D25" i="32"/>
  <c r="C25" i="32"/>
  <c r="C28" i="32"/>
  <c r="B25" i="32"/>
  <c r="H147" i="26"/>
  <c r="I147" i="26"/>
  <c r="H142" i="26"/>
  <c r="H136" i="26"/>
  <c r="I136" i="26"/>
  <c r="J136" i="26"/>
  <c r="H130" i="26"/>
  <c r="I130" i="26"/>
  <c r="J130" i="26" s="1"/>
  <c r="H125" i="26"/>
  <c r="I125" i="26"/>
  <c r="H120" i="26"/>
  <c r="I120" i="26" s="1"/>
  <c r="H17" i="26"/>
  <c r="I17" i="26"/>
  <c r="J17" i="26"/>
  <c r="H18" i="26"/>
  <c r="I18" i="26"/>
  <c r="J18" i="26"/>
  <c r="H19" i="26"/>
  <c r="I19" i="26"/>
  <c r="J19" i="26"/>
  <c r="H20" i="26"/>
  <c r="I20" i="26"/>
  <c r="J20" i="26"/>
  <c r="H21" i="26"/>
  <c r="I21" i="26"/>
  <c r="J21" i="26"/>
  <c r="H23" i="26"/>
  <c r="H26" i="26"/>
  <c r="I26" i="26" s="1"/>
  <c r="H27" i="26"/>
  <c r="I27" i="26"/>
  <c r="J27" i="26"/>
  <c r="H28" i="26"/>
  <c r="I28" i="26"/>
  <c r="J28" i="26"/>
  <c r="H29" i="26"/>
  <c r="H30" i="26"/>
  <c r="I30" i="26" s="1"/>
  <c r="J30" i="26" s="1"/>
  <c r="H31" i="26"/>
  <c r="I31" i="26"/>
  <c r="J31" i="26"/>
  <c r="H32" i="26"/>
  <c r="I32" i="26"/>
  <c r="J32" i="26"/>
  <c r="H33" i="26"/>
  <c r="I33" i="26"/>
  <c r="J33" i="26"/>
  <c r="H35" i="26"/>
  <c r="I35" i="26"/>
  <c r="J35" i="26"/>
  <c r="H36" i="26"/>
  <c r="H34" i="26" s="1"/>
  <c r="H45" i="26"/>
  <c r="I45" i="26" s="1"/>
  <c r="J45" i="26" s="1"/>
  <c r="H48" i="26"/>
  <c r="I48" i="26" s="1"/>
  <c r="J48" i="26" s="1"/>
  <c r="H55" i="26"/>
  <c r="I55" i="26"/>
  <c r="J55" i="26" s="1"/>
  <c r="H56" i="26"/>
  <c r="I56" i="26" s="1"/>
  <c r="J56" i="26" s="1"/>
  <c r="H57" i="26"/>
  <c r="I57" i="26" s="1"/>
  <c r="J57" i="26" s="1"/>
  <c r="I59" i="26"/>
  <c r="J59" i="26" s="1"/>
  <c r="H60" i="26"/>
  <c r="I60" i="26"/>
  <c r="J60" i="26"/>
  <c r="H61" i="26"/>
  <c r="I61" i="26" s="1"/>
  <c r="J61" i="26" s="1"/>
  <c r="H63" i="26"/>
  <c r="I63" i="26"/>
  <c r="J63" i="26" s="1"/>
  <c r="H64" i="26"/>
  <c r="I64" i="26" s="1"/>
  <c r="J64" i="26" s="1"/>
  <c r="H68" i="26"/>
  <c r="I68" i="26"/>
  <c r="H69" i="26"/>
  <c r="I69" i="26" s="1"/>
  <c r="H71" i="26"/>
  <c r="I71" i="26"/>
  <c r="J71" i="26"/>
  <c r="H73" i="26"/>
  <c r="I73" i="26"/>
  <c r="J73" i="26"/>
  <c r="H74" i="26"/>
  <c r="H75" i="26"/>
  <c r="I75" i="26" s="1"/>
  <c r="H105" i="26"/>
  <c r="I105" i="26" s="1"/>
  <c r="J105" i="26" s="1"/>
  <c r="J77" i="26"/>
  <c r="H79" i="26"/>
  <c r="I79" i="26" s="1"/>
  <c r="H80" i="26"/>
  <c r="H81" i="26"/>
  <c r="I81" i="26" s="1"/>
  <c r="J81" i="26" s="1"/>
  <c r="H82" i="26"/>
  <c r="I82" i="26" s="1"/>
  <c r="J82" i="26" s="1"/>
  <c r="H83" i="26"/>
  <c r="I83" i="26"/>
  <c r="J83" i="26"/>
  <c r="I85" i="26"/>
  <c r="I86" i="26"/>
  <c r="J86" i="26" s="1"/>
  <c r="H87" i="26"/>
  <c r="I87" i="26"/>
  <c r="J87" i="26" s="1"/>
  <c r="H88" i="26"/>
  <c r="I88" i="26" s="1"/>
  <c r="J88" i="26" s="1"/>
  <c r="H89" i="26"/>
  <c r="I89" i="26" s="1"/>
  <c r="J89" i="26" s="1"/>
  <c r="H90" i="26"/>
  <c r="I90" i="26" s="1"/>
  <c r="J90" i="26" s="1"/>
  <c r="H91" i="26"/>
  <c r="I91" i="26"/>
  <c r="J91" i="26"/>
  <c r="H93" i="26"/>
  <c r="H94" i="26"/>
  <c r="H92" i="26" s="1"/>
  <c r="H123" i="26"/>
  <c r="I123" i="26"/>
  <c r="J123" i="26"/>
  <c r="H138" i="26"/>
  <c r="H139" i="26"/>
  <c r="I139" i="26"/>
  <c r="J139" i="26"/>
  <c r="H140" i="26"/>
  <c r="I140" i="26"/>
  <c r="J140" i="26"/>
  <c r="H145" i="26"/>
  <c r="I77" i="26"/>
  <c r="H77" i="26"/>
  <c r="E14" i="4"/>
  <c r="F14" i="4" s="1"/>
  <c r="E13" i="4"/>
  <c r="F13" i="4" s="1"/>
  <c r="E12" i="4"/>
  <c r="F12" i="4" s="1"/>
  <c r="E10" i="4"/>
  <c r="F10" i="4"/>
  <c r="G10" i="4"/>
  <c r="E8" i="4"/>
  <c r="F8" i="4"/>
  <c r="D11" i="4"/>
  <c r="C11" i="4"/>
  <c r="B11" i="4"/>
  <c r="C10" i="7"/>
  <c r="B19" i="4"/>
  <c r="C19" i="4"/>
  <c r="D19" i="4"/>
  <c r="E19" i="4"/>
  <c r="F19" i="4"/>
  <c r="G19" i="4"/>
  <c r="B5" i="4"/>
  <c r="C5" i="4"/>
  <c r="D5" i="4"/>
  <c r="E5" i="4"/>
  <c r="F5" i="4"/>
  <c r="G5" i="4"/>
  <c r="F78" i="26"/>
  <c r="E78" i="26"/>
  <c r="D78" i="26"/>
  <c r="G67" i="26"/>
  <c r="F67" i="26"/>
  <c r="E67" i="26"/>
  <c r="D67" i="26"/>
  <c r="G34" i="26"/>
  <c r="F34" i="26"/>
  <c r="E34" i="26"/>
  <c r="D34" i="26"/>
  <c r="D7" i="26"/>
  <c r="E7" i="26"/>
  <c r="F7" i="26"/>
  <c r="G7" i="26"/>
  <c r="H7" i="26"/>
  <c r="I7" i="26"/>
  <c r="J7" i="26"/>
  <c r="A110" i="26"/>
  <c r="A109" i="26"/>
  <c r="A2" i="26"/>
  <c r="A1" i="26"/>
  <c r="E9" i="26"/>
  <c r="E154" i="26" s="1"/>
  <c r="F9" i="26"/>
  <c r="G84" i="26"/>
  <c r="A1" i="46"/>
  <c r="D50" i="26"/>
  <c r="D37" i="26" s="1"/>
  <c r="E50" i="26"/>
  <c r="F50" i="26"/>
  <c r="A2" i="45"/>
  <c r="A1" i="45"/>
  <c r="D21" i="4"/>
  <c r="C21" i="4"/>
  <c r="F84" i="26"/>
  <c r="F92" i="26"/>
  <c r="E84" i="26"/>
  <c r="E92" i="26"/>
  <c r="D92" i="26"/>
  <c r="D84" i="26"/>
  <c r="D16" i="44"/>
  <c r="D24" i="44"/>
  <c r="B16" i="44"/>
  <c r="B25" i="44" s="1"/>
  <c r="A1" i="44"/>
  <c r="F157" i="26"/>
  <c r="F26" i="31"/>
  <c r="F28" i="31" s="1"/>
  <c r="F25" i="31"/>
  <c r="F24" i="31"/>
  <c r="D26" i="31"/>
  <c r="D25" i="31"/>
  <c r="B26" i="31"/>
  <c r="B25" i="31"/>
  <c r="A1" i="31"/>
  <c r="H161" i="26"/>
  <c r="A1" i="4"/>
  <c r="A1" i="35"/>
  <c r="E161" i="26"/>
  <c r="D155" i="26"/>
  <c r="D168" i="26"/>
  <c r="D169" i="26"/>
  <c r="J168" i="26"/>
  <c r="J169" i="26"/>
  <c r="J170" i="26"/>
  <c r="H168" i="26"/>
  <c r="H169" i="26"/>
  <c r="H170" i="26"/>
  <c r="G155" i="26"/>
  <c r="G168" i="26"/>
  <c r="G169" i="26"/>
  <c r="G170" i="26"/>
  <c r="F155" i="26"/>
  <c r="F168" i="26"/>
  <c r="F169" i="26"/>
  <c r="F170" i="26"/>
  <c r="E155" i="26"/>
  <c r="E168" i="26"/>
  <c r="E169" i="26"/>
  <c r="E170" i="26"/>
  <c r="J167" i="26"/>
  <c r="H167" i="26"/>
  <c r="G167" i="26"/>
  <c r="F167" i="26"/>
  <c r="E167" i="26"/>
  <c r="D167" i="26"/>
  <c r="J165" i="26"/>
  <c r="H165" i="26"/>
  <c r="G165" i="26"/>
  <c r="F165" i="26"/>
  <c r="E165" i="26"/>
  <c r="D165" i="26"/>
  <c r="J163" i="26"/>
  <c r="H163" i="26"/>
  <c r="G163" i="26"/>
  <c r="F163" i="26"/>
  <c r="E163" i="26"/>
  <c r="D163" i="26"/>
  <c r="G161" i="26"/>
  <c r="F161" i="26"/>
  <c r="D161" i="26"/>
  <c r="J160" i="26"/>
  <c r="H160" i="26"/>
  <c r="G160" i="26"/>
  <c r="F160" i="26"/>
  <c r="E160" i="26"/>
  <c r="D160" i="26"/>
  <c r="J159" i="26"/>
  <c r="H159" i="26"/>
  <c r="G159" i="26"/>
  <c r="F159" i="26"/>
  <c r="E159" i="26"/>
  <c r="D159" i="26"/>
  <c r="J158" i="26"/>
  <c r="H158" i="26"/>
  <c r="G158" i="26"/>
  <c r="F158" i="26"/>
  <c r="E158" i="26"/>
  <c r="D158" i="26"/>
  <c r="J157" i="26"/>
  <c r="H157" i="26"/>
  <c r="G157" i="26"/>
  <c r="E157" i="26"/>
  <c r="D157" i="26"/>
  <c r="J156" i="26"/>
  <c r="H156" i="26"/>
  <c r="G156" i="26"/>
  <c r="F156" i="26"/>
  <c r="E156" i="26"/>
  <c r="D156" i="26"/>
  <c r="G150" i="26"/>
  <c r="F150" i="26"/>
  <c r="E150" i="26"/>
  <c r="B23" i="34"/>
  <c r="D18" i="34"/>
  <c r="A1" i="34"/>
  <c r="J161" i="26"/>
  <c r="B7" i="31"/>
  <c r="D7" i="31"/>
  <c r="F7" i="31"/>
  <c r="D75" i="52"/>
  <c r="F75" i="52"/>
  <c r="D114" i="26"/>
  <c r="E114" i="26"/>
  <c r="F114" i="26"/>
  <c r="G114" i="26"/>
  <c r="H114" i="26"/>
  <c r="I114" i="26"/>
  <c r="J114" i="26"/>
  <c r="H76" i="52"/>
  <c r="H75" i="52"/>
  <c r="J75" i="52"/>
  <c r="E7" i="52"/>
  <c r="F7" i="52"/>
  <c r="G7" i="52"/>
  <c r="H7" i="52"/>
  <c r="I7" i="52"/>
  <c r="J7" i="52"/>
  <c r="J76" i="52"/>
  <c r="G17" i="31"/>
  <c r="G20" i="31" s="1"/>
  <c r="I67" i="52"/>
  <c r="J67" i="52"/>
  <c r="F56" i="52"/>
  <c r="J55" i="52"/>
  <c r="I50" i="52"/>
  <c r="J50" i="52"/>
  <c r="H48" i="52"/>
  <c r="H95" i="26"/>
  <c r="D65" i="26"/>
  <c r="E65" i="26"/>
  <c r="I74" i="26"/>
  <c r="C25" i="51"/>
  <c r="D25" i="51" s="1"/>
  <c r="I62" i="52"/>
  <c r="J62" i="52"/>
  <c r="G85" i="52"/>
  <c r="I66" i="52"/>
  <c r="I68" i="52"/>
  <c r="J68" i="52"/>
  <c r="J96" i="26"/>
  <c r="J95" i="26"/>
  <c r="G11" i="31"/>
  <c r="E15" i="34"/>
  <c r="F15" i="34"/>
  <c r="E13" i="34"/>
  <c r="F13" i="34"/>
  <c r="E12" i="34"/>
  <c r="F12" i="34" s="1"/>
  <c r="I29" i="26"/>
  <c r="J29" i="26"/>
  <c r="I72" i="26"/>
  <c r="J72" i="26"/>
  <c r="E85" i="52"/>
  <c r="E56" i="52"/>
  <c r="J59" i="52"/>
  <c r="I146" i="26"/>
  <c r="D10" i="51"/>
  <c r="J66" i="52"/>
  <c r="D12" i="51"/>
  <c r="D11" i="51"/>
  <c r="D20" i="51"/>
  <c r="D26" i="51"/>
  <c r="C21" i="51"/>
  <c r="F21" i="51" s="1"/>
  <c r="D16" i="51"/>
  <c r="F15" i="51"/>
  <c r="F13" i="51"/>
  <c r="F11" i="51"/>
  <c r="G8" i="4"/>
  <c r="D15" i="4"/>
  <c r="I65" i="52"/>
  <c r="G56" i="52"/>
  <c r="H65" i="52"/>
  <c r="I64" i="52"/>
  <c r="I61" i="52"/>
  <c r="D85" i="52"/>
  <c r="I27" i="52"/>
  <c r="J27" i="52"/>
  <c r="D76" i="26"/>
  <c r="I93" i="26"/>
  <c r="J74" i="26"/>
  <c r="J155" i="26"/>
  <c r="J16" i="26"/>
  <c r="J15" i="26"/>
  <c r="I36" i="26"/>
  <c r="J36" i="26" s="1"/>
  <c r="J34" i="26" s="1"/>
  <c r="J147" i="26"/>
  <c r="E37" i="51"/>
  <c r="H16" i="26"/>
  <c r="H15" i="26"/>
  <c r="C8" i="51"/>
  <c r="I138" i="26"/>
  <c r="H137" i="26"/>
  <c r="E16" i="34"/>
  <c r="F16" i="34"/>
  <c r="E17" i="34"/>
  <c r="F17" i="34"/>
  <c r="E14" i="34"/>
  <c r="F14" i="34"/>
  <c r="J68" i="26"/>
  <c r="E11" i="34"/>
  <c r="F11" i="34" s="1"/>
  <c r="D10" i="7"/>
  <c r="E10" i="7"/>
  <c r="B8" i="32"/>
  <c r="E10" i="40"/>
  <c r="E45" i="40" s="1"/>
  <c r="E61" i="40" s="1"/>
  <c r="E64" i="40" s="1"/>
  <c r="E67" i="40" s="1"/>
  <c r="E73" i="40" s="1"/>
  <c r="B15" i="31"/>
  <c r="D15" i="31"/>
  <c r="F15" i="31"/>
  <c r="B23" i="31"/>
  <c r="D23" i="31"/>
  <c r="F23" i="31"/>
  <c r="I145" i="26"/>
  <c r="I142" i="26"/>
  <c r="J142" i="26"/>
  <c r="I21" i="52"/>
  <c r="J21" i="52"/>
  <c r="H18" i="52"/>
  <c r="J65" i="52"/>
  <c r="J125" i="26"/>
  <c r="G19" i="31"/>
  <c r="G18" i="31"/>
  <c r="D20" i="31"/>
  <c r="E18" i="31" s="1"/>
  <c r="J29" i="52"/>
  <c r="J28" i="52"/>
  <c r="I28" i="52"/>
  <c r="I32" i="52"/>
  <c r="H31" i="52"/>
  <c r="I47" i="52"/>
  <c r="J47" i="52"/>
  <c r="I16" i="26"/>
  <c r="I15" i="26"/>
  <c r="H28" i="52"/>
  <c r="G16" i="31"/>
  <c r="D170" i="26"/>
  <c r="C15" i="7"/>
  <c r="H155" i="26"/>
  <c r="D164" i="26"/>
  <c r="J146" i="26"/>
  <c r="I48" i="52"/>
  <c r="J51" i="52"/>
  <c r="J48" i="52"/>
  <c r="H61" i="52"/>
  <c r="C17" i="7"/>
  <c r="D13" i="51"/>
  <c r="B18" i="51"/>
  <c r="B34" i="51" s="1"/>
  <c r="F20" i="51"/>
  <c r="F16" i="51"/>
  <c r="F12" i="51"/>
  <c r="C36" i="51"/>
  <c r="D36" i="51"/>
  <c r="E33" i="51"/>
  <c r="C37" i="51"/>
  <c r="D37" i="51" s="1"/>
  <c r="D21" i="51"/>
  <c r="J64" i="52"/>
  <c r="J61" i="52"/>
  <c r="J93" i="26"/>
  <c r="I31" i="52"/>
  <c r="J32" i="52"/>
  <c r="J31" i="52"/>
  <c r="J145" i="26"/>
  <c r="C8" i="32"/>
  <c r="D8" i="32"/>
  <c r="B18" i="32"/>
  <c r="C18" i="32"/>
  <c r="D18" i="32"/>
  <c r="E34" i="51"/>
  <c r="F36" i="51"/>
  <c r="B6" i="46"/>
  <c r="A5" i="49"/>
  <c r="A5" i="50"/>
  <c r="A5" i="51"/>
  <c r="B5" i="45"/>
  <c r="C5" i="45"/>
  <c r="D5" i="45"/>
  <c r="B7" i="49"/>
  <c r="F7" i="49"/>
  <c r="J7" i="49"/>
  <c r="F10" i="7"/>
  <c r="B13" i="46"/>
  <c r="D10" i="34"/>
  <c r="E10" i="34"/>
  <c r="F10" i="34"/>
  <c r="J138" i="26"/>
  <c r="I137" i="26"/>
  <c r="E8" i="51"/>
  <c r="C24" i="51"/>
  <c r="E24" i="51"/>
  <c r="G8" i="51"/>
  <c r="C6" i="46"/>
  <c r="G10" i="7"/>
  <c r="C13" i="46"/>
  <c r="J137" i="26"/>
  <c r="G24" i="51"/>
  <c r="I8" i="51"/>
  <c r="D6" i="46"/>
  <c r="D13" i="46"/>
  <c r="K8" i="51"/>
  <c r="K24" i="51"/>
  <c r="I24" i="51"/>
  <c r="E97" i="40" l="1"/>
  <c r="E98" i="40" s="1"/>
  <c r="E99" i="40" s="1"/>
  <c r="E100" i="40" s="1"/>
  <c r="E101" i="40" s="1"/>
  <c r="E102" i="40" s="1"/>
  <c r="E103" i="40" s="1"/>
  <c r="E104" i="40" s="1"/>
  <c r="E105" i="40" s="1"/>
  <c r="E106" i="40" s="1"/>
  <c r="E107" i="40" s="1"/>
  <c r="E108" i="40" s="1"/>
  <c r="E109" i="40" s="1"/>
  <c r="E110" i="40" s="1"/>
  <c r="E111" i="40" s="1"/>
  <c r="E112" i="40" s="1"/>
  <c r="E113" i="40" s="1"/>
  <c r="E114" i="40" s="1"/>
  <c r="E115" i="40" s="1"/>
  <c r="E116" i="40" s="1"/>
  <c r="E117" i="40" s="1"/>
  <c r="E118" i="40" s="1"/>
  <c r="E119" i="40" s="1"/>
  <c r="E120" i="40" s="1"/>
  <c r="E121" i="40" s="1"/>
  <c r="E122" i="40" s="1"/>
  <c r="E123" i="40" s="1"/>
  <c r="E124" i="40" s="1"/>
  <c r="E125" i="40" s="1"/>
  <c r="E126" i="40" s="1"/>
  <c r="E127" i="40" s="1"/>
  <c r="E128" i="40" s="1"/>
  <c r="E129" i="40" s="1"/>
  <c r="E130" i="40" s="1"/>
  <c r="E131" i="40" s="1"/>
  <c r="E132" i="40" s="1"/>
  <c r="E133" i="40" s="1"/>
  <c r="E134" i="40" s="1"/>
  <c r="E135" i="40" s="1"/>
  <c r="E136" i="40" s="1"/>
  <c r="E137" i="40" s="1"/>
  <c r="E138" i="40" s="1"/>
  <c r="E139" i="40" s="1"/>
  <c r="E140" i="40" s="1"/>
  <c r="E141" i="40" s="1"/>
  <c r="E142" i="40" s="1"/>
  <c r="E143" i="40" s="1"/>
  <c r="E144" i="40" s="1"/>
  <c r="E145" i="40" s="1"/>
  <c r="E146" i="40" s="1"/>
  <c r="E147" i="40" s="1"/>
  <c r="E148" i="40" s="1"/>
  <c r="E149" i="40" s="1"/>
  <c r="E150" i="40" s="1"/>
  <c r="E151" i="40" s="1"/>
  <c r="E152" i="40" s="1"/>
  <c r="E153" i="40" s="1"/>
  <c r="E154" i="40" s="1"/>
  <c r="E155" i="40" s="1"/>
  <c r="E156" i="40" s="1"/>
  <c r="E157" i="40" s="1"/>
  <c r="E158" i="40" s="1"/>
  <c r="E159" i="40" s="1"/>
  <c r="E160" i="40" s="1"/>
  <c r="E161" i="40" s="1"/>
  <c r="E162" i="40" s="1"/>
  <c r="E163" i="40" s="1"/>
  <c r="E164" i="40" s="1"/>
  <c r="E165" i="40" s="1"/>
  <c r="E166" i="40" s="1"/>
  <c r="E167" i="40" s="1"/>
  <c r="E168" i="40" s="1"/>
  <c r="E169" i="40" s="1"/>
  <c r="D88" i="40"/>
  <c r="E11" i="40"/>
  <c r="E43" i="40" s="1"/>
  <c r="E59" i="40" s="1"/>
  <c r="E86" i="40"/>
  <c r="D10" i="40"/>
  <c r="B10" i="40" s="1"/>
  <c r="B45" i="40" s="1"/>
  <c r="B61" i="40" s="1"/>
  <c r="B64" i="40" s="1"/>
  <c r="B67" i="40" s="1"/>
  <c r="B73" i="40" s="1"/>
  <c r="D11" i="40"/>
  <c r="D43" i="40" s="1"/>
  <c r="D59" i="40" s="1"/>
  <c r="F37" i="51"/>
  <c r="D28" i="51"/>
  <c r="C35" i="51"/>
  <c r="D19" i="51"/>
  <c r="F32" i="51"/>
  <c r="D32" i="51"/>
  <c r="C30" i="51"/>
  <c r="F14" i="51"/>
  <c r="C31" i="51"/>
  <c r="F29" i="51"/>
  <c r="D29" i="51"/>
  <c r="F28" i="51"/>
  <c r="F27" i="51"/>
  <c r="D27" i="51"/>
  <c r="C34" i="51"/>
  <c r="F18" i="51"/>
  <c r="D18" i="51"/>
  <c r="C33" i="51"/>
  <c r="D17" i="51"/>
  <c r="F17" i="51"/>
  <c r="D19" i="50"/>
  <c r="F25" i="51"/>
  <c r="G12" i="4"/>
  <c r="G14" i="4"/>
  <c r="G20" i="50"/>
  <c r="C15" i="4"/>
  <c r="E21" i="50" s="1"/>
  <c r="F11" i="4"/>
  <c r="E11" i="4"/>
  <c r="G13" i="4"/>
  <c r="E7" i="4"/>
  <c r="F7" i="4"/>
  <c r="E19" i="31"/>
  <c r="B20" i="31"/>
  <c r="E16" i="31"/>
  <c r="E17" i="31"/>
  <c r="G27" i="31"/>
  <c r="G24" i="31"/>
  <c r="G25" i="31"/>
  <c r="G26" i="31"/>
  <c r="G12" i="31"/>
  <c r="G9" i="31"/>
  <c r="B21" i="32"/>
  <c r="B28" i="32" s="1"/>
  <c r="D28" i="32"/>
  <c r="E18" i="34"/>
  <c r="F18" i="34"/>
  <c r="D25" i="44"/>
  <c r="I46" i="26"/>
  <c r="J46" i="26" s="1"/>
  <c r="G76" i="26"/>
  <c r="H70" i="26"/>
  <c r="H65" i="26" s="1"/>
  <c r="H58" i="26"/>
  <c r="I58" i="26" s="1"/>
  <c r="J58" i="26" s="1"/>
  <c r="D17" i="7"/>
  <c r="G38" i="26"/>
  <c r="G37" i="26" s="1"/>
  <c r="G101" i="26"/>
  <c r="G9" i="26"/>
  <c r="G154" i="26" s="1"/>
  <c r="I119" i="26"/>
  <c r="J119" i="26" s="1"/>
  <c r="G116" i="26"/>
  <c r="D13" i="7" s="1"/>
  <c r="G131" i="26"/>
  <c r="D22" i="4"/>
  <c r="H122" i="26"/>
  <c r="F132" i="26"/>
  <c r="C20" i="7" s="1"/>
  <c r="J120" i="26"/>
  <c r="D20" i="7"/>
  <c r="F164" i="26"/>
  <c r="F38" i="26"/>
  <c r="F101" i="26"/>
  <c r="H84" i="26"/>
  <c r="F76" i="26"/>
  <c r="H67" i="26"/>
  <c r="C16" i="7"/>
  <c r="F37" i="26"/>
  <c r="I34" i="26"/>
  <c r="I25" i="26"/>
  <c r="J25" i="26" s="1"/>
  <c r="J31" i="49" s="1"/>
  <c r="K31" i="49" s="1"/>
  <c r="H24" i="26"/>
  <c r="H22" i="26"/>
  <c r="F154" i="26"/>
  <c r="F35" i="52"/>
  <c r="E14" i="50" s="1"/>
  <c r="E15" i="50" s="1"/>
  <c r="F92" i="52"/>
  <c r="F93" i="52" s="1"/>
  <c r="J54" i="52"/>
  <c r="G43" i="52"/>
  <c r="G69" i="52" s="1"/>
  <c r="G83" i="52" s="1"/>
  <c r="I46" i="52"/>
  <c r="J46" i="52" s="1"/>
  <c r="I26" i="52"/>
  <c r="J26" i="52" s="1"/>
  <c r="J25" i="52" s="1"/>
  <c r="H25" i="52"/>
  <c r="G25" i="52"/>
  <c r="I17" i="52"/>
  <c r="J17" i="52" s="1"/>
  <c r="J19" i="52"/>
  <c r="J18" i="52" s="1"/>
  <c r="G35" i="52"/>
  <c r="G92" i="52"/>
  <c r="G93" i="52" s="1"/>
  <c r="G74" i="52"/>
  <c r="F43" i="52"/>
  <c r="F69" i="52" s="1"/>
  <c r="E16" i="50" s="1"/>
  <c r="E43" i="52"/>
  <c r="E69" i="52" s="1"/>
  <c r="E83" i="52" s="1"/>
  <c r="E35" i="52"/>
  <c r="G14" i="50"/>
  <c r="H14" i="50"/>
  <c r="I14" i="50" s="1"/>
  <c r="E92" i="52"/>
  <c r="E93" i="52" s="1"/>
  <c r="D92" i="52"/>
  <c r="D93" i="52" s="1"/>
  <c r="D35" i="52"/>
  <c r="E74" i="52"/>
  <c r="J143" i="26"/>
  <c r="G23" i="4" s="1"/>
  <c r="I143" i="26"/>
  <c r="H143" i="26"/>
  <c r="E23" i="4" s="1"/>
  <c r="D148" i="26"/>
  <c r="D162" i="26" s="1"/>
  <c r="B20" i="7"/>
  <c r="D14" i="7"/>
  <c r="F166" i="26"/>
  <c r="I129" i="26"/>
  <c r="J129" i="26" s="1"/>
  <c r="E126" i="26"/>
  <c r="E115" i="26"/>
  <c r="E148" i="26" s="1"/>
  <c r="E162" i="26" s="1"/>
  <c r="B24" i="49"/>
  <c r="C24" i="49" s="1"/>
  <c r="F115" i="26"/>
  <c r="B13" i="7"/>
  <c r="C13" i="7"/>
  <c r="H98" i="26"/>
  <c r="I99" i="26"/>
  <c r="E98" i="26"/>
  <c r="I94" i="26"/>
  <c r="E76" i="26"/>
  <c r="I84" i="26"/>
  <c r="J85" i="26"/>
  <c r="J84" i="26" s="1"/>
  <c r="J79" i="26"/>
  <c r="I80" i="26"/>
  <c r="I78" i="26" s="1"/>
  <c r="H78" i="26"/>
  <c r="I70" i="26"/>
  <c r="J75" i="26"/>
  <c r="J70" i="26" s="1"/>
  <c r="F65" i="26"/>
  <c r="I67" i="26"/>
  <c r="J69" i="26"/>
  <c r="J67" i="26" s="1"/>
  <c r="J66" i="26"/>
  <c r="B17" i="7"/>
  <c r="E37" i="26"/>
  <c r="I24" i="26"/>
  <c r="J26" i="26"/>
  <c r="J24" i="26" s="1"/>
  <c r="F31" i="49"/>
  <c r="G31" i="49" s="1"/>
  <c r="B31" i="49"/>
  <c r="C31" i="49" s="1"/>
  <c r="I23" i="26"/>
  <c r="B15" i="7"/>
  <c r="D8" i="26"/>
  <c r="D171" i="26" s="1"/>
  <c r="D172" i="26" s="1"/>
  <c r="D154" i="26"/>
  <c r="E8" i="26"/>
  <c r="D45" i="40" l="1"/>
  <c r="D61" i="40" s="1"/>
  <c r="D64" i="40" s="1"/>
  <c r="D67" i="40" s="1"/>
  <c r="D73" i="40" s="1"/>
  <c r="D35" i="51"/>
  <c r="F35" i="51"/>
  <c r="F30" i="51"/>
  <c r="D30" i="51"/>
  <c r="F31" i="51"/>
  <c r="D31" i="51"/>
  <c r="D33" i="51"/>
  <c r="F33" i="51"/>
  <c r="D34" i="51"/>
  <c r="F34" i="51"/>
  <c r="G11" i="4"/>
  <c r="E22" i="50"/>
  <c r="H22" i="50" s="1"/>
  <c r="I22" i="50" s="1"/>
  <c r="G22" i="50"/>
  <c r="H21" i="50"/>
  <c r="I21" i="50" s="1"/>
  <c r="G21" i="50"/>
  <c r="E15" i="4"/>
  <c r="B33" i="49"/>
  <c r="F15" i="4"/>
  <c r="F33" i="49"/>
  <c r="G7" i="4"/>
  <c r="C16" i="31"/>
  <c r="C18" i="31"/>
  <c r="C19" i="31"/>
  <c r="C17" i="31"/>
  <c r="E20" i="31"/>
  <c r="G28" i="31"/>
  <c r="D12" i="31"/>
  <c r="D24" i="31"/>
  <c r="D28" i="31" s="1"/>
  <c r="E17" i="7"/>
  <c r="D16" i="7"/>
  <c r="E16" i="7" s="1"/>
  <c r="G8" i="26"/>
  <c r="G171" i="26" s="1"/>
  <c r="G172" i="26" s="1"/>
  <c r="D15" i="7"/>
  <c r="E15" i="7" s="1"/>
  <c r="G115" i="26"/>
  <c r="G148" i="26" s="1"/>
  <c r="G162" i="26" s="1"/>
  <c r="J24" i="49"/>
  <c r="K24" i="49" s="1"/>
  <c r="I122" i="26"/>
  <c r="H121" i="26"/>
  <c r="F131" i="26"/>
  <c r="F148" i="26"/>
  <c r="E12" i="50" s="1"/>
  <c r="E20" i="7"/>
  <c r="F20" i="7" s="1"/>
  <c r="G20" i="7" s="1"/>
  <c r="I65" i="26"/>
  <c r="H76" i="26"/>
  <c r="F8" i="26"/>
  <c r="F171" i="26" s="1"/>
  <c r="F172" i="26" s="1"/>
  <c r="I25" i="52"/>
  <c r="F83" i="52"/>
  <c r="E17" i="50"/>
  <c r="G16" i="50"/>
  <c r="H16" i="50"/>
  <c r="I16" i="50" s="1"/>
  <c r="G15" i="50"/>
  <c r="H15" i="50"/>
  <c r="I15" i="50" s="1"/>
  <c r="E166" i="26"/>
  <c r="B14" i="7"/>
  <c r="C14" i="7"/>
  <c r="F24" i="49"/>
  <c r="G24" i="49" s="1"/>
  <c r="E13" i="7"/>
  <c r="I98" i="26"/>
  <c r="J99" i="26"/>
  <c r="J98" i="26" s="1"/>
  <c r="I92" i="26"/>
  <c r="I76" i="26" s="1"/>
  <c r="F17" i="49" s="1"/>
  <c r="G17" i="49" s="1"/>
  <c r="J94" i="26"/>
  <c r="J92" i="26" s="1"/>
  <c r="J80" i="26"/>
  <c r="J78" i="26"/>
  <c r="J65" i="26"/>
  <c r="F17" i="7"/>
  <c r="G17" i="7" s="1"/>
  <c r="H52" i="26"/>
  <c r="I22" i="26"/>
  <c r="J23" i="26"/>
  <c r="J22" i="26" s="1"/>
  <c r="E171" i="26"/>
  <c r="E172" i="26" s="1"/>
  <c r="E153" i="26"/>
  <c r="E107" i="26"/>
  <c r="D153" i="26"/>
  <c r="D107" i="26"/>
  <c r="J33" i="49" l="1"/>
  <c r="G15" i="4"/>
  <c r="J34" i="49" s="1"/>
  <c r="G33" i="49"/>
  <c r="I35" i="51" s="1"/>
  <c r="I19" i="51"/>
  <c r="F34" i="49"/>
  <c r="G19" i="51"/>
  <c r="H19" i="51" s="1"/>
  <c r="C33" i="49"/>
  <c r="G35" i="51" s="1"/>
  <c r="H35" i="51" s="1"/>
  <c r="B34" i="49"/>
  <c r="B35" i="49"/>
  <c r="F35" i="49"/>
  <c r="C20" i="31"/>
  <c r="E26" i="31"/>
  <c r="E24" i="31"/>
  <c r="E25" i="31"/>
  <c r="E27" i="31"/>
  <c r="E11" i="31"/>
  <c r="E9" i="31"/>
  <c r="E10" i="31"/>
  <c r="E8" i="31"/>
  <c r="B17" i="49"/>
  <c r="C17" i="49" s="1"/>
  <c r="H53" i="26"/>
  <c r="H54" i="26"/>
  <c r="F16" i="7"/>
  <c r="G16" i="7" s="1"/>
  <c r="H43" i="26"/>
  <c r="H40" i="26"/>
  <c r="H42" i="26"/>
  <c r="H41" i="26"/>
  <c r="G107" i="26"/>
  <c r="G153" i="26"/>
  <c r="H11" i="26"/>
  <c r="H13" i="26"/>
  <c r="H14" i="26"/>
  <c r="F15" i="7"/>
  <c r="G15" i="7" s="1"/>
  <c r="B32" i="49"/>
  <c r="C32" i="49" s="1"/>
  <c r="E22" i="4"/>
  <c r="J122" i="26"/>
  <c r="J121" i="26" s="1"/>
  <c r="I121" i="26"/>
  <c r="I133" i="26"/>
  <c r="H134" i="26"/>
  <c r="I134" i="26" s="1"/>
  <c r="J134" i="26" s="1"/>
  <c r="H58" i="52"/>
  <c r="I58" i="52" s="1"/>
  <c r="F162" i="26"/>
  <c r="F13" i="7"/>
  <c r="G13" i="7" s="1"/>
  <c r="I53" i="26"/>
  <c r="J53" i="26" s="1"/>
  <c r="I52" i="26"/>
  <c r="J52" i="26" s="1"/>
  <c r="F153" i="26"/>
  <c r="F107" i="26"/>
  <c r="E10" i="50" s="1"/>
  <c r="E11" i="50" s="1"/>
  <c r="H11" i="50" s="1"/>
  <c r="I11" i="50" s="1"/>
  <c r="G17" i="50"/>
  <c r="H17" i="50"/>
  <c r="I17" i="50" s="1"/>
  <c r="E14" i="7"/>
  <c r="E13" i="50"/>
  <c r="G12" i="50"/>
  <c r="H12" i="50"/>
  <c r="I12" i="50" s="1"/>
  <c r="H118" i="26"/>
  <c r="H117" i="26"/>
  <c r="J76" i="26"/>
  <c r="J17" i="49" s="1"/>
  <c r="K17" i="49" s="1"/>
  <c r="I51" i="26"/>
  <c r="J19" i="51" l="1"/>
  <c r="J35" i="51"/>
  <c r="I21" i="51"/>
  <c r="G35" i="49"/>
  <c r="I37" i="51" s="1"/>
  <c r="G21" i="51"/>
  <c r="H21" i="51" s="1"/>
  <c r="C35" i="49"/>
  <c r="G37" i="51" s="1"/>
  <c r="H37" i="51" s="1"/>
  <c r="K34" i="49"/>
  <c r="K36" i="51" s="1"/>
  <c r="K20" i="51"/>
  <c r="G20" i="51"/>
  <c r="H20" i="51" s="1"/>
  <c r="C34" i="49"/>
  <c r="G36" i="51" s="1"/>
  <c r="H36" i="51" s="1"/>
  <c r="K19" i="51"/>
  <c r="L19" i="51" s="1"/>
  <c r="K33" i="49"/>
  <c r="K35" i="51" s="1"/>
  <c r="L35" i="51" s="1"/>
  <c r="J35" i="49"/>
  <c r="I20" i="51"/>
  <c r="G34" i="49"/>
  <c r="I36" i="51" s="1"/>
  <c r="E28" i="31"/>
  <c r="E12" i="31"/>
  <c r="B12" i="31"/>
  <c r="B24" i="31"/>
  <c r="B28" i="31" s="1"/>
  <c r="H50" i="26"/>
  <c r="I54" i="26"/>
  <c r="J54" i="26" s="1"/>
  <c r="H103" i="26"/>
  <c r="B13" i="35" s="1"/>
  <c r="I42" i="26"/>
  <c r="J42" i="26" s="1"/>
  <c r="I41" i="26"/>
  <c r="J41" i="26" s="1"/>
  <c r="I40" i="26"/>
  <c r="J40" i="26" s="1"/>
  <c r="I43" i="26"/>
  <c r="J43" i="26" s="1"/>
  <c r="I62" i="26"/>
  <c r="J62" i="26" s="1"/>
  <c r="I39" i="26"/>
  <c r="H38" i="26"/>
  <c r="I14" i="26"/>
  <c r="J14" i="26" s="1"/>
  <c r="I13" i="26"/>
  <c r="J13" i="26" s="1"/>
  <c r="I11" i="26"/>
  <c r="J11" i="26" s="1"/>
  <c r="H9" i="26"/>
  <c r="H154" i="26" s="1"/>
  <c r="I10" i="26"/>
  <c r="J10" i="26" s="1"/>
  <c r="I12" i="26"/>
  <c r="J12" i="26" s="1"/>
  <c r="F32" i="49"/>
  <c r="G32" i="49" s="1"/>
  <c r="J32" i="49"/>
  <c r="K32" i="49" s="1"/>
  <c r="H57" i="52"/>
  <c r="H56" i="52" s="1"/>
  <c r="H132" i="26"/>
  <c r="H131" i="26" s="1"/>
  <c r="I118" i="26"/>
  <c r="J118" i="26" s="1"/>
  <c r="H10" i="50"/>
  <c r="I10" i="50" s="1"/>
  <c r="G11" i="50"/>
  <c r="G10" i="50"/>
  <c r="E18" i="50"/>
  <c r="E19" i="50" s="1"/>
  <c r="I57" i="52"/>
  <c r="I56" i="52" s="1"/>
  <c r="J58" i="52"/>
  <c r="J57" i="52" s="1"/>
  <c r="I132" i="26"/>
  <c r="J133" i="26"/>
  <c r="J132" i="26" s="1"/>
  <c r="H128" i="26"/>
  <c r="F14" i="7"/>
  <c r="G14" i="7" s="1"/>
  <c r="I9" i="52"/>
  <c r="H8" i="52"/>
  <c r="H44" i="52"/>
  <c r="H13" i="50"/>
  <c r="I13" i="50" s="1"/>
  <c r="G13" i="50"/>
  <c r="I117" i="26"/>
  <c r="H116" i="26"/>
  <c r="J51" i="26"/>
  <c r="J39" i="26"/>
  <c r="J36" i="51" l="1"/>
  <c r="J20" i="51"/>
  <c r="L20" i="51"/>
  <c r="J37" i="51"/>
  <c r="L36" i="51"/>
  <c r="K21" i="51"/>
  <c r="L21" i="51" s="1"/>
  <c r="K35" i="49"/>
  <c r="K37" i="51" s="1"/>
  <c r="L37" i="51" s="1"/>
  <c r="J21" i="51"/>
  <c r="C26" i="31"/>
  <c r="C25" i="31"/>
  <c r="C27" i="31"/>
  <c r="C24" i="31"/>
  <c r="C11" i="31"/>
  <c r="C8" i="31"/>
  <c r="C10" i="31"/>
  <c r="C9" i="31"/>
  <c r="H37" i="26"/>
  <c r="B15" i="49" s="1"/>
  <c r="C15" i="49" s="1"/>
  <c r="B8" i="45"/>
  <c r="J50" i="26"/>
  <c r="I50" i="26"/>
  <c r="H101" i="26"/>
  <c r="I38" i="26"/>
  <c r="I103" i="26"/>
  <c r="I101" i="26" s="1"/>
  <c r="B14" i="49"/>
  <c r="C14" i="49" s="1"/>
  <c r="B10" i="35"/>
  <c r="J9" i="26"/>
  <c r="J14" i="49" s="1"/>
  <c r="I9" i="26"/>
  <c r="H85" i="52"/>
  <c r="H164" i="26"/>
  <c r="B23" i="49"/>
  <c r="C23" i="49" s="1"/>
  <c r="I128" i="26"/>
  <c r="J128" i="26" s="1"/>
  <c r="H18" i="50"/>
  <c r="I18" i="50" s="1"/>
  <c r="G18" i="50"/>
  <c r="J56" i="52"/>
  <c r="J85" i="52"/>
  <c r="J131" i="26"/>
  <c r="J164" i="26"/>
  <c r="J23" i="49"/>
  <c r="K23" i="49" s="1"/>
  <c r="F23" i="49"/>
  <c r="G23" i="49" s="1"/>
  <c r="I131" i="26"/>
  <c r="I127" i="26"/>
  <c r="H126" i="26"/>
  <c r="H115" i="26" s="1"/>
  <c r="H148" i="26" s="1"/>
  <c r="H96" i="52" s="1"/>
  <c r="H52" i="52"/>
  <c r="H87" i="52" s="1"/>
  <c r="H35" i="52"/>
  <c r="B25" i="49" s="1"/>
  <c r="H74" i="52"/>
  <c r="H92" i="52"/>
  <c r="H93" i="52" s="1"/>
  <c r="J117" i="26"/>
  <c r="J116" i="26" s="1"/>
  <c r="I116" i="26"/>
  <c r="I44" i="52"/>
  <c r="J44" i="52"/>
  <c r="B21" i="49"/>
  <c r="B19" i="35"/>
  <c r="I8" i="52"/>
  <c r="I35" i="52" s="1"/>
  <c r="F25" i="49" s="1"/>
  <c r="J9" i="52"/>
  <c r="J8" i="52" s="1"/>
  <c r="J38" i="26"/>
  <c r="J103" i="26"/>
  <c r="G19" i="50"/>
  <c r="H19" i="50"/>
  <c r="I19" i="50" s="1"/>
  <c r="C12" i="31" l="1"/>
  <c r="C28" i="31"/>
  <c r="H8" i="26"/>
  <c r="B16" i="49" s="1"/>
  <c r="B13" i="49" s="1"/>
  <c r="B12" i="49" s="1"/>
  <c r="B11" i="35"/>
  <c r="B9" i="35" s="1"/>
  <c r="B14" i="35" s="1"/>
  <c r="B16" i="35" s="1"/>
  <c r="J37" i="26"/>
  <c r="J8" i="26" s="1"/>
  <c r="J153" i="26" s="1"/>
  <c r="I37" i="26"/>
  <c r="F15" i="49" s="1"/>
  <c r="G15" i="49" s="1"/>
  <c r="C8" i="45"/>
  <c r="J154" i="26"/>
  <c r="F14" i="49"/>
  <c r="J127" i="26"/>
  <c r="J126" i="26" s="1"/>
  <c r="J115" i="26" s="1"/>
  <c r="J148" i="26" s="1"/>
  <c r="I126" i="26"/>
  <c r="F22" i="49" s="1"/>
  <c r="G22" i="49" s="1"/>
  <c r="H43" i="52"/>
  <c r="H69" i="52" s="1"/>
  <c r="H94" i="52" s="1"/>
  <c r="I52" i="52"/>
  <c r="I43" i="52" s="1"/>
  <c r="I69" i="52" s="1"/>
  <c r="J52" i="52"/>
  <c r="J87" i="52" s="1"/>
  <c r="B20" i="35"/>
  <c r="B18" i="35" s="1"/>
  <c r="H166" i="26"/>
  <c r="B22" i="49"/>
  <c r="C22" i="49" s="1"/>
  <c r="G25" i="49"/>
  <c r="I29" i="51" s="1"/>
  <c r="I13" i="51"/>
  <c r="F26" i="49"/>
  <c r="J21" i="49"/>
  <c r="G13" i="51"/>
  <c r="H13" i="51" s="1"/>
  <c r="B26" i="49"/>
  <c r="C25" i="49"/>
  <c r="G29" i="51" s="1"/>
  <c r="H29" i="51" s="1"/>
  <c r="H162" i="26"/>
  <c r="B18" i="49"/>
  <c r="J92" i="52"/>
  <c r="J93" i="52" s="1"/>
  <c r="J74" i="52"/>
  <c r="J35" i="52"/>
  <c r="J25" i="49" s="1"/>
  <c r="F21" i="49"/>
  <c r="C21" i="49"/>
  <c r="D8" i="45"/>
  <c r="J101" i="26"/>
  <c r="K14" i="49"/>
  <c r="B6" i="45" l="1"/>
  <c r="B10" i="45" s="1"/>
  <c r="B12" i="45" s="1"/>
  <c r="E15" i="49" s="1"/>
  <c r="H153" i="26"/>
  <c r="H107" i="26"/>
  <c r="B11" i="49" s="1"/>
  <c r="C11" i="49" s="1"/>
  <c r="G25" i="51" s="1"/>
  <c r="H25" i="51" s="1"/>
  <c r="H171" i="26"/>
  <c r="H172" i="26" s="1"/>
  <c r="J15" i="49"/>
  <c r="K15" i="49" s="1"/>
  <c r="I8" i="26"/>
  <c r="I107" i="26" s="1"/>
  <c r="F11" i="49" s="1"/>
  <c r="I9" i="51" s="1"/>
  <c r="B22" i="35"/>
  <c r="E32" i="49"/>
  <c r="E23" i="49"/>
  <c r="C16" i="49"/>
  <c r="G14" i="49"/>
  <c r="J171" i="26"/>
  <c r="J172" i="26" s="1"/>
  <c r="J107" i="26"/>
  <c r="J11" i="49" s="1"/>
  <c r="K11" i="49" s="1"/>
  <c r="K25" i="51" s="1"/>
  <c r="D6" i="45"/>
  <c r="D10" i="45" s="1"/>
  <c r="D12" i="45" s="1"/>
  <c r="M14" i="49" s="1"/>
  <c r="I115" i="26"/>
  <c r="I148" i="26" s="1"/>
  <c r="F18" i="49" s="1"/>
  <c r="I11" i="51" s="1"/>
  <c r="F27" i="49"/>
  <c r="G27" i="49" s="1"/>
  <c r="I31" i="51" s="1"/>
  <c r="I94" i="52"/>
  <c r="J43" i="52"/>
  <c r="J69" i="52" s="1"/>
  <c r="J13" i="51"/>
  <c r="E22" i="49"/>
  <c r="B20" i="49"/>
  <c r="C20" i="49"/>
  <c r="C19" i="49" s="1"/>
  <c r="G28" i="51" s="1"/>
  <c r="H28" i="51" s="1"/>
  <c r="H83" i="52"/>
  <c r="B27" i="49"/>
  <c r="J22" i="49"/>
  <c r="K22" i="49" s="1"/>
  <c r="J166" i="26"/>
  <c r="G14" i="51"/>
  <c r="H14" i="51" s="1"/>
  <c r="C26" i="49"/>
  <c r="G30" i="51" s="1"/>
  <c r="H30" i="51" s="1"/>
  <c r="G21" i="49"/>
  <c r="G20" i="49" s="1"/>
  <c r="G19" i="49" s="1"/>
  <c r="I28" i="51" s="1"/>
  <c r="F20" i="49"/>
  <c r="F19" i="49" s="1"/>
  <c r="I12" i="51" s="1"/>
  <c r="G11" i="51"/>
  <c r="H11" i="51" s="1"/>
  <c r="C18" i="49"/>
  <c r="J18" i="49"/>
  <c r="J162" i="26"/>
  <c r="K21" i="49"/>
  <c r="K25" i="49"/>
  <c r="K29" i="51" s="1"/>
  <c r="L29" i="51" s="1"/>
  <c r="J26" i="49"/>
  <c r="K13" i="51"/>
  <c r="L13" i="51" s="1"/>
  <c r="I14" i="51"/>
  <c r="G26" i="49"/>
  <c r="I30" i="51" s="1"/>
  <c r="J29" i="51"/>
  <c r="G10" i="51"/>
  <c r="H10" i="51" s="1"/>
  <c r="E12" i="49" l="1"/>
  <c r="E26" i="49"/>
  <c r="E34" i="49"/>
  <c r="E17" i="49"/>
  <c r="E18" i="49"/>
  <c r="E31" i="49"/>
  <c r="E14" i="49"/>
  <c r="E33" i="49"/>
  <c r="B14" i="45"/>
  <c r="B14" i="46" s="1"/>
  <c r="B15" i="46" s="1"/>
  <c r="E21" i="49"/>
  <c r="E13" i="49"/>
  <c r="E24" i="49"/>
  <c r="E16" i="49"/>
  <c r="E16" i="4"/>
  <c r="E25" i="49"/>
  <c r="E35" i="49"/>
  <c r="J20" i="49"/>
  <c r="J19" i="49" s="1"/>
  <c r="K12" i="51" s="1"/>
  <c r="L12" i="51" s="1"/>
  <c r="G9" i="51"/>
  <c r="H9" i="51" s="1"/>
  <c r="E11" i="49"/>
  <c r="J16" i="49"/>
  <c r="J13" i="49" s="1"/>
  <c r="J12" i="49" s="1"/>
  <c r="F16" i="49"/>
  <c r="F13" i="49" s="1"/>
  <c r="F12" i="49" s="1"/>
  <c r="G12" i="49" s="1"/>
  <c r="G29" i="49" s="1"/>
  <c r="G11" i="49"/>
  <c r="I25" i="51" s="1"/>
  <c r="J25" i="51" s="1"/>
  <c r="C6" i="45"/>
  <c r="C10" i="45" s="1"/>
  <c r="C12" i="45" s="1"/>
  <c r="I14" i="49" s="1"/>
  <c r="K9" i="51"/>
  <c r="L9" i="51" s="1"/>
  <c r="M35" i="49"/>
  <c r="K20" i="49"/>
  <c r="K19" i="49" s="1"/>
  <c r="K28" i="51" s="1"/>
  <c r="L28" i="51" s="1"/>
  <c r="G18" i="49"/>
  <c r="I27" i="51" s="1"/>
  <c r="M22" i="49"/>
  <c r="M34" i="49"/>
  <c r="M21" i="49"/>
  <c r="M26" i="49"/>
  <c r="M24" i="49"/>
  <c r="M32" i="49"/>
  <c r="M33" i="49"/>
  <c r="G16" i="4"/>
  <c r="M11" i="49"/>
  <c r="D14" i="45"/>
  <c r="D7" i="46" s="1"/>
  <c r="M15" i="49"/>
  <c r="M17" i="49"/>
  <c r="M31" i="49"/>
  <c r="M23" i="49"/>
  <c r="M25" i="49"/>
  <c r="M18" i="49"/>
  <c r="I15" i="51"/>
  <c r="F28" i="49"/>
  <c r="J83" i="52"/>
  <c r="J94" i="52"/>
  <c r="J27" i="49"/>
  <c r="K15" i="51" s="1"/>
  <c r="J30" i="51"/>
  <c r="E27" i="49"/>
  <c r="G15" i="51"/>
  <c r="H15" i="51" s="1"/>
  <c r="B28" i="49"/>
  <c r="C27" i="49"/>
  <c r="G31" i="51" s="1"/>
  <c r="B19" i="49"/>
  <c r="E20" i="49"/>
  <c r="J28" i="51"/>
  <c r="J14" i="51"/>
  <c r="K18" i="49"/>
  <c r="K27" i="51" s="1"/>
  <c r="K11" i="51"/>
  <c r="L11" i="51" s="1"/>
  <c r="G27" i="51"/>
  <c r="H27" i="51" s="1"/>
  <c r="C13" i="49"/>
  <c r="C12" i="49" s="1"/>
  <c r="M20" i="49"/>
  <c r="K14" i="51"/>
  <c r="L14" i="51" s="1"/>
  <c r="K26" i="49"/>
  <c r="K30" i="51" s="1"/>
  <c r="L30" i="51" s="1"/>
  <c r="J11" i="51"/>
  <c r="B7" i="46" l="1"/>
  <c r="B8" i="46" s="1"/>
  <c r="B16" i="46"/>
  <c r="M19" i="49"/>
  <c r="J9" i="51"/>
  <c r="I28" i="49"/>
  <c r="I23" i="49"/>
  <c r="F29" i="49"/>
  <c r="I29" i="49" s="1"/>
  <c r="M13" i="49"/>
  <c r="M16" i="49"/>
  <c r="I34" i="49"/>
  <c r="K16" i="49"/>
  <c r="K13" i="49" s="1"/>
  <c r="K12" i="49" s="1"/>
  <c r="K26" i="51" s="1"/>
  <c r="I10" i="51"/>
  <c r="J10" i="51" s="1"/>
  <c r="G16" i="49"/>
  <c r="G13" i="49" s="1"/>
  <c r="I21" i="49"/>
  <c r="I12" i="49"/>
  <c r="I11" i="49"/>
  <c r="I26" i="49"/>
  <c r="I16" i="49"/>
  <c r="I35" i="49"/>
  <c r="I27" i="49"/>
  <c r="I33" i="49"/>
  <c r="I13" i="49"/>
  <c r="I20" i="49"/>
  <c r="C14" i="45"/>
  <c r="F16" i="4"/>
  <c r="I17" i="49"/>
  <c r="I18" i="49"/>
  <c r="I24" i="49"/>
  <c r="I22" i="49"/>
  <c r="I32" i="49"/>
  <c r="L25" i="51"/>
  <c r="I19" i="49"/>
  <c r="I25" i="49"/>
  <c r="I15" i="49"/>
  <c r="I31" i="49"/>
  <c r="L27" i="51"/>
  <c r="D14" i="46"/>
  <c r="D16" i="46" s="1"/>
  <c r="L15" i="51"/>
  <c r="I16" i="51"/>
  <c r="G28" i="49"/>
  <c r="I32" i="51" s="1"/>
  <c r="K27" i="49"/>
  <c r="K31" i="51" s="1"/>
  <c r="L31" i="51" s="1"/>
  <c r="M27" i="49"/>
  <c r="J28" i="49"/>
  <c r="M28" i="49" s="1"/>
  <c r="J15" i="51"/>
  <c r="E28" i="49"/>
  <c r="G16" i="51"/>
  <c r="H16" i="51" s="1"/>
  <c r="C28" i="49"/>
  <c r="G32" i="51" s="1"/>
  <c r="G12" i="51"/>
  <c r="E19" i="49"/>
  <c r="B29" i="49"/>
  <c r="H31" i="51"/>
  <c r="J31" i="51"/>
  <c r="G26" i="51"/>
  <c r="H26" i="51" s="1"/>
  <c r="C29" i="49"/>
  <c r="J27" i="51"/>
  <c r="D8" i="46"/>
  <c r="D9" i="46"/>
  <c r="M12" i="49"/>
  <c r="I26" i="51"/>
  <c r="K10" i="51"/>
  <c r="J29" i="49"/>
  <c r="I33" i="51"/>
  <c r="B9" i="46" l="1"/>
  <c r="K29" i="49"/>
  <c r="K33" i="51" s="1"/>
  <c r="L33" i="51" s="1"/>
  <c r="I17" i="51"/>
  <c r="F30" i="49"/>
  <c r="I30" i="49" s="1"/>
  <c r="L10" i="51"/>
  <c r="C7" i="46"/>
  <c r="C14" i="46"/>
  <c r="D15" i="46"/>
  <c r="J26" i="51"/>
  <c r="G30" i="49"/>
  <c r="I34" i="51" s="1"/>
  <c r="K16" i="51"/>
  <c r="L16" i="51" s="1"/>
  <c r="K28" i="49"/>
  <c r="K32" i="51" s="1"/>
  <c r="L32" i="51" s="1"/>
  <c r="E29" i="49"/>
  <c r="B30" i="49"/>
  <c r="G17" i="51"/>
  <c r="H17" i="51" s="1"/>
  <c r="H32" i="51"/>
  <c r="J32" i="51"/>
  <c r="J16" i="51"/>
  <c r="H12" i="51"/>
  <c r="J12" i="51"/>
  <c r="C30" i="49"/>
  <c r="G34" i="51" s="1"/>
  <c r="H34" i="51" s="1"/>
  <c r="G33" i="51"/>
  <c r="H33" i="51" s="1"/>
  <c r="K17" i="51"/>
  <c r="J30" i="49"/>
  <c r="M29" i="49"/>
  <c r="L26" i="51"/>
  <c r="I18" i="51" l="1"/>
  <c r="L17" i="51"/>
  <c r="C8" i="46"/>
  <c r="C9" i="46"/>
  <c r="C15" i="46"/>
  <c r="C16" i="46"/>
  <c r="K30" i="49"/>
  <c r="K34" i="51" s="1"/>
  <c r="L34" i="51" s="1"/>
  <c r="E30" i="49"/>
  <c r="G18" i="51"/>
  <c r="H18" i="51" s="1"/>
  <c r="J17" i="51"/>
  <c r="J33" i="51"/>
  <c r="J34" i="51"/>
  <c r="K18" i="51"/>
  <c r="M30" i="49"/>
  <c r="L18" i="51" l="1"/>
  <c r="J18"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Andreia</author>
  </authors>
  <commentList>
    <comment ref="G144" authorId="0" shapeId="0" xr:uid="{A795CC37-0F51-4AEF-8C7B-74A53FCBA6E8}">
      <text>
        <r>
          <rPr>
            <b/>
            <sz val="9"/>
            <color indexed="81"/>
            <rFont val="Segoe UI"/>
            <family val="2"/>
          </rPr>
          <t>Andreia:</t>
        </r>
        <r>
          <rPr>
            <sz val="9"/>
            <color indexed="81"/>
            <rFont val="Segoe UI"/>
            <family val="2"/>
          </rPr>
          <t xml:space="preserve">
ATE FINAL D ANO TEREMOS PAGOS 34/54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Andreia</author>
  </authors>
  <commentList>
    <comment ref="H26" authorId="0" shapeId="0" xr:uid="{10D5A888-0EAC-42D5-99BF-AA3159542BB3}">
      <text>
        <r>
          <rPr>
            <b/>
            <sz val="9"/>
            <color indexed="81"/>
            <rFont val="Segoe UI"/>
            <family val="2"/>
          </rPr>
          <t>Andreia:</t>
        </r>
        <r>
          <rPr>
            <sz val="9"/>
            <color indexed="81"/>
            <rFont val="Segoe UI"/>
            <family val="2"/>
          </rPr>
          <t xml:space="preserve">
EM 2025 VAI PASSAR A SER 21,45%</t>
        </r>
      </text>
    </comment>
  </commentList>
</comments>
</file>

<file path=xl/sharedStrings.xml><?xml version="1.0" encoding="utf-8"?>
<sst xmlns="http://schemas.openxmlformats.org/spreadsheetml/2006/main" count="954" uniqueCount="630">
  <si>
    <t>LEI DE DIRETRIZES ORÇAMENTÁRIAS  PARA 2025</t>
  </si>
  <si>
    <r>
      <rPr>
        <b/>
        <sz val="9"/>
        <color indexed="10"/>
        <rFont val="Arial"/>
        <family val="2"/>
      </rPr>
      <t xml:space="preserve">TABELA  01 </t>
    </r>
    <r>
      <rPr>
        <b/>
        <sz val="9"/>
        <rFont val="Arial"/>
        <family val="2"/>
      </rPr>
      <t>- Parâmentos Utilizados nas Estimativas das Receitas e Despesas</t>
    </r>
  </si>
  <si>
    <t>Indicador</t>
  </si>
  <si>
    <t>INFLAÇÃO MÉDIA ANUAL   (I P C A)</t>
  </si>
  <si>
    <t xml:space="preserve">VARIAÇÃODO PIB </t>
  </si>
  <si>
    <t>CRESCIMENTO VEGETATIVO DA FOLHA SALARIAL</t>
  </si>
  <si>
    <t>CRESCIMENTO AUTÔNOMO DE OUTROS CUSTEIOS</t>
  </si>
  <si>
    <t>ESFORÇO NA ARRECADAÇÃO TRIBUTÁRIA</t>
  </si>
  <si>
    <t>CRESC.REAL DAS TRANSFER CORR DA UNIÃO</t>
  </si>
  <si>
    <t>CRESC.REAL DAS TRANSFER CORR DO ESTADO</t>
  </si>
  <si>
    <t>PERCENTUAL DE AUMENTO SALARIAL (acima do IPCA)- EXECUTVO</t>
  </si>
  <si>
    <t>PERCENTUAL DE AUMENTO SALARIAL -(acima do IPCA)  LEGISLATIVO</t>
  </si>
  <si>
    <t xml:space="preserve">CRESCIMENTO DOS INVESTIMENTOS </t>
  </si>
  <si>
    <t>Taxa de Juros Selic (Média do Ano)</t>
  </si>
  <si>
    <t>Taxa de Câmbio (Média do Ano)</t>
  </si>
  <si>
    <r>
      <rPr>
        <b/>
        <sz val="12"/>
        <color indexed="10"/>
        <rFont val="Arial"/>
        <family val="2"/>
      </rPr>
      <t xml:space="preserve">Tabela 02 </t>
    </r>
    <r>
      <rPr>
        <b/>
        <sz val="12"/>
        <rFont val="Arial"/>
        <family val="2"/>
      </rPr>
      <t xml:space="preserve">- Memória de Cálculo das Estimativas das Receitas - </t>
    </r>
    <r>
      <rPr>
        <b/>
        <sz val="12"/>
        <color indexed="10"/>
        <rFont val="Arial"/>
        <family val="2"/>
      </rPr>
      <t>EXCETO RPPS</t>
    </r>
  </si>
  <si>
    <t>Valores em R$ 1,00</t>
  </si>
  <si>
    <t>Código até 2022</t>
  </si>
  <si>
    <t>Código a partir de 2023</t>
  </si>
  <si>
    <t>CONTAS</t>
  </si>
  <si>
    <t>ARRECADADA</t>
  </si>
  <si>
    <t>REESTIMADO</t>
  </si>
  <si>
    <t>PROJETADO</t>
  </si>
  <si>
    <t>CONSOLIDADAS ANUAIS</t>
  </si>
  <si>
    <t>1.0.0.0.00.0.0.00.00.00</t>
  </si>
  <si>
    <t>Receitas Correntes</t>
  </si>
  <si>
    <t>1.1.0.0.00.0.0.00.00.00</t>
  </si>
  <si>
    <t>Impostos, Taxas e Contribuições de Melhoria</t>
  </si>
  <si>
    <t>1.1.1.3.03.1.1.01.00.00</t>
  </si>
  <si>
    <t>IRRF s/Rend.Trabalho - Principal - Ativos/Inativos do Poder Executivo/Indiretas</t>
  </si>
  <si>
    <t>1.1.1.3.03.1.1.02.00.00</t>
  </si>
  <si>
    <t>IRRF s/Rend.Trabalho - Principal - Ativos/Inativos do Poder Legislativo</t>
  </si>
  <si>
    <t>1.1.1.0.00.0.0.00.00.00</t>
  </si>
  <si>
    <t xml:space="preserve"> Demais Impostos</t>
  </si>
  <si>
    <t>1.1.2.0.00.0.0.00.00.00</t>
  </si>
  <si>
    <t>Taxas</t>
  </si>
  <si>
    <t>1.1.3.0.00.0.0.00.00.00</t>
  </si>
  <si>
    <t>Contribuição de Melhoria</t>
  </si>
  <si>
    <t>1.2.0.0.00.0.0.00.00.00</t>
  </si>
  <si>
    <t>Contribuições</t>
  </si>
  <si>
    <t>1.2.1.0.00.0.0.00.00.00</t>
  </si>
  <si>
    <t>Contribuições Sociais</t>
  </si>
  <si>
    <t>1.2.1.0.06.0.0.00.00.00</t>
  </si>
  <si>
    <t>Contribuição para os Fundos de Assistência Médica</t>
  </si>
  <si>
    <t>1.2.1.0.99.0.0.00.00.00</t>
  </si>
  <si>
    <t>Outras Contribuições Sociais</t>
  </si>
  <si>
    <t>1.2.1.8.00.0.0.00.00.00</t>
  </si>
  <si>
    <t xml:space="preserve">Contribuições Sociais específicas de Estados, DF, Municípios </t>
  </si>
  <si>
    <t>1.2.2.0.00.0.0.00.00.00</t>
  </si>
  <si>
    <t>Contribuições Econômicas</t>
  </si>
  <si>
    <t>1.2.4.0.00.0.0.00.00.00</t>
  </si>
  <si>
    <t>Contribuição para o Custeio do Serviço de Iluminação Pública</t>
  </si>
  <si>
    <t>1.3.0.0.00.0.0.00.00.00</t>
  </si>
  <si>
    <t>Receita Patrimonial</t>
  </si>
  <si>
    <t>1.3.1.0.00.0.0.00.00.00</t>
  </si>
  <si>
    <t>Exploração do Patrimônio Imobiliário do Estado</t>
  </si>
  <si>
    <t>1.3.2.0.00.0.0.00.00.00</t>
  </si>
  <si>
    <t>Valores Mobiliários</t>
  </si>
  <si>
    <t>1.3.2.1.00.1.1.01.00.00</t>
  </si>
  <si>
    <t>Remuneração de Depósitos de Recursos Vinculados - Principal</t>
  </si>
  <si>
    <t>1.3.2.1.00.1.1.02.00.00</t>
  </si>
  <si>
    <t>Remuneração de Depósitos de Recursos Não Vinculados - Principal</t>
  </si>
  <si>
    <t>1.3.2.1.00.5.0.00.00.00</t>
  </si>
  <si>
    <t>Juros de Títulos de Renda</t>
  </si>
  <si>
    <t>1.3.2.9.00.0.0.00.00.00</t>
  </si>
  <si>
    <t>Outros Valores Mobiliários</t>
  </si>
  <si>
    <t>1.3.3.0.00.0.0.00.00.00</t>
  </si>
  <si>
    <t>Delegação de Serviços Públicos Mediante Concessão, Permissão, Autorização ou Licença</t>
  </si>
  <si>
    <t>1.3.6.0.00.0.0.00.00.00</t>
  </si>
  <si>
    <t>Cessão de Direitos</t>
  </si>
  <si>
    <t>1.3.9.0.00.0.0.00.00.00</t>
  </si>
  <si>
    <t>Demais Receitas Patrimoniais</t>
  </si>
  <si>
    <t>1.4.0.0.00.0.0.00.00.00</t>
  </si>
  <si>
    <t>Receita Agropecuária</t>
  </si>
  <si>
    <t>1.5.0.0.00.0.0.00.00.00</t>
  </si>
  <si>
    <t>Receita Industrial</t>
  </si>
  <si>
    <t>1.6.0.0.00.0.0.00.00</t>
  </si>
  <si>
    <t>Receita de Serviços</t>
  </si>
  <si>
    <t>1.6.4.0.01.1.0.00.00 + 1.6.4.0.03.1.0.00.00</t>
  </si>
  <si>
    <t xml:space="preserve">1.6.4.1.01.00 +1.6.4.1.03.00 </t>
  </si>
  <si>
    <t>Retorno de Operações -  Juros e Encargos Financeiros / Rem. s/Repasse para Programas de Desenv.Econômico</t>
  </si>
  <si>
    <t>Demais Serviços</t>
  </si>
  <si>
    <t>1.7.0.0.00.0.0.00.00.00</t>
  </si>
  <si>
    <t>Transferências Correntes</t>
  </si>
  <si>
    <t>1.7.1.0.00.0.0.00.00.00</t>
  </si>
  <si>
    <t>Transferências da União e de suas Entidades</t>
  </si>
  <si>
    <t>1.7.1.8.01.2.0.00.00.00</t>
  </si>
  <si>
    <t>Cota-Parte do Fundo de Participação dos Municípios - Cota Mensal</t>
  </si>
  <si>
    <t>1.7.1.8.01.3.0.00.00.00</t>
  </si>
  <si>
    <t>Cota-Parte do Fundo de Participação do Municípios – 1% Cota entregue no mês de dezembro</t>
  </si>
  <si>
    <t>1.7.1.8.01.4.0.00.00.00</t>
  </si>
  <si>
    <t>Cota-Parte do Fundo de Participação dos Municípios - 1% Cota entregue no mês de julho</t>
  </si>
  <si>
    <t>1.7.1.8.01.5.0.00.00.00</t>
  </si>
  <si>
    <t>Cota-Parte do Imposto Sobre a Propriedade Territorial Rural</t>
  </si>
  <si>
    <t>1.7.1.8.02.0.0.00.00.00</t>
  </si>
  <si>
    <t>Transferência da Compensação Financeira pela Exploração de Recursos Naturais</t>
  </si>
  <si>
    <t>1.7.1.8.03.0.0.00.00.00</t>
  </si>
  <si>
    <t>Transferência de Recursos do Sistema Único de Saúde – SUS – Repasses Fundo a Fundo</t>
  </si>
  <si>
    <t>1.7.1.8.12.0.0.00.00.00</t>
  </si>
  <si>
    <t>Transferências de Recursos do Fundo Nacional de Assistência Social – FNAS</t>
  </si>
  <si>
    <t>1.7.1.8.05.0.0.00.00.00</t>
  </si>
  <si>
    <t>Transferências de Recursos do Fundo Nacional do Desenvolvimento da Educação – FNDE</t>
  </si>
  <si>
    <t>1.7.1.8.06.0.0.00.00.00</t>
  </si>
  <si>
    <t>Transferência Financeira do ICMS – Desoneração – L.C. Nº 87/96</t>
  </si>
  <si>
    <t>1.7.1.8.10.0.0.00.00.00</t>
  </si>
  <si>
    <t>Transferências de Convênios da União e de Suas Entidades</t>
  </si>
  <si>
    <t>1.7.1.8.99.0.0.00.00.00</t>
  </si>
  <si>
    <t>Outras Transferências da União</t>
  </si>
  <si>
    <t>1.7.2.0.00.0.0.00.00.00</t>
  </si>
  <si>
    <t>Transferências dos Estados e do Distrito Federal e de suas Entidades</t>
  </si>
  <si>
    <t>1.7.2.8.01.1.0.00.00.00</t>
  </si>
  <si>
    <t>Cota-Parte do ICMS</t>
  </si>
  <si>
    <t>1.7.2.8.01.2.0.00.00.00</t>
  </si>
  <si>
    <t>Cota-Parte do IPVA</t>
  </si>
  <si>
    <t>1.7.2.8.01.3.0.00.00.00</t>
  </si>
  <si>
    <t>Cota-Parte do IPI - Municípios</t>
  </si>
  <si>
    <t>1.7.2.8.01.4.0.00.00.00</t>
  </si>
  <si>
    <t>Cota-Parte da Contribuição de Intervenção no Domínio Econômico</t>
  </si>
  <si>
    <t>1.7.2.8.01.5.0.00.00.00</t>
  </si>
  <si>
    <t>Outras Participações na Receita dos Estados</t>
  </si>
  <si>
    <t>1.7.2.8.01.9.0.00.00.00</t>
  </si>
  <si>
    <t>Outras Transferências dos Estados</t>
  </si>
  <si>
    <t>1.7.2.8.03.0.0.00.00.00</t>
  </si>
  <si>
    <t>Transferência de Recursos do Estado para Programas de Saúde – Repasse Fundo a Fundo</t>
  </si>
  <si>
    <t>1.7.2.8.10.0.0.00.00.00</t>
  </si>
  <si>
    <t>Transferência de Convênios dos Estados e do Distrito Federal e de Suas Entidades</t>
  </si>
  <si>
    <t>1.7.2.8.99.0.0.00.00.00</t>
  </si>
  <si>
    <t>1.7.3.0.00.0.0.00.00.00</t>
  </si>
  <si>
    <t>Transferências dos Municípios e de suas Entidades</t>
  </si>
  <si>
    <t>1.7.4.0.00.0.0.00.00.00</t>
  </si>
  <si>
    <t>Transferências de Instituições Privadas</t>
  </si>
  <si>
    <t>1.7.5.8.01.1.1.00.00.00</t>
  </si>
  <si>
    <t>Transferências de Recursos do FUNDEB - Principal</t>
  </si>
  <si>
    <t>1.7.6.0.00.0.0.00.00.00</t>
  </si>
  <si>
    <t>Transferências do Exterior</t>
  </si>
  <si>
    <t>1.7.7.0.00.0.0.00.00.00</t>
  </si>
  <si>
    <t>Transferências de Pessoas Físicas</t>
  </si>
  <si>
    <t>1.9.0.0.00.0.0.00.00.00</t>
  </si>
  <si>
    <t>Outras Receitas Correntes</t>
  </si>
  <si>
    <t>1.9.1.0.00.0.0.00.00.00</t>
  </si>
  <si>
    <t>Multas Administrativas, Contratuais e Judiciais</t>
  </si>
  <si>
    <t>1.9.2.0.00.0.0.00.00.00</t>
  </si>
  <si>
    <t>Indenizações, Restituições e Ressarcimentos</t>
  </si>
  <si>
    <t>1.9.2.2.01.2.0.00.00</t>
  </si>
  <si>
    <t>Restituição de Convênios -  Financeiras</t>
  </si>
  <si>
    <t>1.9.2.0.00.0.0.00.00</t>
  </si>
  <si>
    <t>Outras Indenizações, Restituições e Ressarcimentos</t>
  </si>
  <si>
    <t>1.9.9.0.00.0.0.00.00.00</t>
  </si>
  <si>
    <t>Demais Receitas Correntes</t>
  </si>
  <si>
    <t>1.9.9.0.06.0.0.00.00.00</t>
  </si>
  <si>
    <t>Contrapartida de Subvenções ou Subsídios</t>
  </si>
  <si>
    <t>1.9.9.0.1.1.1.0.00.00.00</t>
  </si>
  <si>
    <t>Variação Cambial</t>
  </si>
  <si>
    <t>1.9.9.0.12.0.0.00.00.00</t>
  </si>
  <si>
    <t>Encargos Legais pela Inscrição em Dívida Ativa e Receitas de Ônus de Sucumbência</t>
  </si>
  <si>
    <t>1.9.9.0.99.2.0.00.00.00</t>
  </si>
  <si>
    <t>Outras Receitas Financeiras</t>
  </si>
  <si>
    <t>1.9.9.0.99.0.0.00.00.00</t>
  </si>
  <si>
    <t>Outras Receitas (demais receitas diversas)</t>
  </si>
  <si>
    <t>2.0.0.0.00.0.0.00.00.00</t>
  </si>
  <si>
    <t>Receitas de Capital</t>
  </si>
  <si>
    <t>2.1.0.0.00.0.0.00.00.00</t>
  </si>
  <si>
    <t>Operações de Crédito</t>
  </si>
  <si>
    <t>2.2.0.0.00.0.0.00.00.00</t>
  </si>
  <si>
    <t>Alienação de Bens</t>
  </si>
  <si>
    <t xml:space="preserve">2.2.1.8.01.1.0.00.00.00 </t>
  </si>
  <si>
    <t>Alienação de Investimentos Temporários</t>
  </si>
  <si>
    <t>2.2.1.8.01.2.0.00.00.00</t>
  </si>
  <si>
    <t>Alienação de Investimenros Permanentes</t>
  </si>
  <si>
    <t>2.2.1.0.00.0.0.00.00.00</t>
  </si>
  <si>
    <t>Alienação de Bens Móveis</t>
  </si>
  <si>
    <t>2.2.2.0.00.0.0.00.00.00</t>
  </si>
  <si>
    <t>Alienação de Bens Imóveis</t>
  </si>
  <si>
    <t>2.3.0.0.00.0.0.00.00.00</t>
  </si>
  <si>
    <t>Amortização de Empréstimos</t>
  </si>
  <si>
    <t>2.4.0.0.00.0.0.00.00.00</t>
  </si>
  <si>
    <t>Transferências de Capital</t>
  </si>
  <si>
    <t>2.4.1.0.00.0.0.00.00.00</t>
  </si>
  <si>
    <t>2.4.2.0.00.0.0.00.00.00</t>
  </si>
  <si>
    <t>2.4.3.0.00.0.0.00.00.00</t>
  </si>
  <si>
    <t>2.4.4.0.00.0.0.00.00.00</t>
  </si>
  <si>
    <t>2.4.5.0.00.0.0.00.00.00</t>
  </si>
  <si>
    <t>Transferências de Outras Instituições Públicas</t>
  </si>
  <si>
    <t>2.4.6.0.00.0.0.00.00.00</t>
  </si>
  <si>
    <t>2.4.7.0.00.0.0.00.00.00</t>
  </si>
  <si>
    <t>2.9.0.0.00.0.0.00.00.00</t>
  </si>
  <si>
    <t>Outras Receitas de Capital</t>
  </si>
  <si>
    <t>2.9.9.0.00.1.1.01.00.00</t>
  </si>
  <si>
    <t>2.9.9.0.00.1.1.02.00.00</t>
  </si>
  <si>
    <t>Remuneracao de Depósitos Bancários - Principal</t>
  </si>
  <si>
    <t>7.0.0.0.00.0.0.00.00.00</t>
  </si>
  <si>
    <t>Receitas Correntes Intraorçamentárias</t>
  </si>
  <si>
    <r>
      <t xml:space="preserve">Receitas Correntes Intraorçamentárias </t>
    </r>
    <r>
      <rPr>
        <b/>
        <sz val="10"/>
        <color indexed="10"/>
        <rFont val="Arial"/>
        <family val="2"/>
      </rPr>
      <t>- Primárias</t>
    </r>
  </si>
  <si>
    <r>
      <t xml:space="preserve">Receitas Correntes Intraorçamentárias </t>
    </r>
    <r>
      <rPr>
        <b/>
        <sz val="10"/>
        <color indexed="10"/>
        <rFont val="Arial"/>
        <family val="2"/>
      </rPr>
      <t>- Financeiras / Não Primárias</t>
    </r>
  </si>
  <si>
    <t>8.0.0.0.00.0.0.00.00.00</t>
  </si>
  <si>
    <t>Receitas de Capital Intraorçamentárias</t>
  </si>
  <si>
    <r>
      <t xml:space="preserve">Receitas de Capital Intraorçamentárias </t>
    </r>
    <r>
      <rPr>
        <b/>
        <sz val="10"/>
        <color indexed="10"/>
        <rFont val="Arial"/>
        <family val="2"/>
      </rPr>
      <t>- Primárias</t>
    </r>
  </si>
  <si>
    <r>
      <t xml:space="preserve">Receitas de Capital Intraorçamentárias </t>
    </r>
    <r>
      <rPr>
        <b/>
        <sz val="10"/>
        <color indexed="10"/>
        <rFont val="Arial"/>
        <family val="2"/>
      </rPr>
      <t>- Financeiras / Não Primárias</t>
    </r>
  </si>
  <si>
    <t>9.0.0.0.0.00.0.0.00.00</t>
  </si>
  <si>
    <t>9.0.0.0.0.00.0.0</t>
  </si>
  <si>
    <r>
      <t>( R ) Deduções da Receita</t>
    </r>
    <r>
      <rPr>
        <b/>
        <sz val="10"/>
        <color indexed="10"/>
        <rFont val="Arial"/>
        <family val="2"/>
      </rPr>
      <t xml:space="preserve"> - Digitar com sinal negativo</t>
    </r>
  </si>
  <si>
    <t>9.1.1.0.0.00.0.0.00.00</t>
  </si>
  <si>
    <t>9.1.1.0.0.00.0.0</t>
  </si>
  <si>
    <t>Deduções da Receita de Impostos, Taxas e Contribuições de Melhoria (digitar com sinal negativo)</t>
  </si>
  <si>
    <t>9.1.7.0.0.00.0.0.00.00</t>
  </si>
  <si>
    <t>9.1.7.0.0.00.0.0</t>
  </si>
  <si>
    <t>Deduções para o FUNDEB</t>
  </si>
  <si>
    <t>9.1.0.0.0.00.0.0.00.00</t>
  </si>
  <si>
    <t>9.1.0.0.0.00.0.0</t>
  </si>
  <si>
    <t>Demais Deduções da Receita Corrente  (digitar com sinal negativo)</t>
  </si>
  <si>
    <t>9.2.0.0.0.00.0.0.00.00</t>
  </si>
  <si>
    <t>9.2.0.0.0.00.0.0</t>
  </si>
  <si>
    <r>
      <t>Deduções da Receita de Capital</t>
    </r>
    <r>
      <rPr>
        <sz val="10"/>
        <color indexed="10"/>
        <rFont val="Arial"/>
        <family val="2"/>
      </rPr>
      <t xml:space="preserve"> </t>
    </r>
    <r>
      <rPr>
        <sz val="10"/>
        <rFont val="Arial"/>
        <family val="2"/>
      </rPr>
      <t xml:space="preserve"> (digitar com sinal negativo)</t>
    </r>
  </si>
  <si>
    <t>TOTAL DAS RECEITAS ARRECADADAS</t>
  </si>
  <si>
    <r>
      <t>Memória de Cálculo das Estimativas de</t>
    </r>
    <r>
      <rPr>
        <b/>
        <sz val="12"/>
        <color indexed="10"/>
        <rFont val="Arial"/>
        <family val="2"/>
      </rPr>
      <t xml:space="preserve"> Pagamento das Despesas</t>
    </r>
    <r>
      <rPr>
        <b/>
        <sz val="12"/>
        <rFont val="Arial"/>
        <family val="2"/>
      </rPr>
      <t xml:space="preserve"> - Inclusive Restos a Pagar - </t>
    </r>
    <r>
      <rPr>
        <b/>
        <sz val="12"/>
        <color indexed="10"/>
        <rFont val="Arial"/>
        <family val="2"/>
      </rPr>
      <t>Exceto Despesas do RPPS</t>
    </r>
    <r>
      <rPr>
        <b/>
        <sz val="12"/>
        <rFont val="Arial"/>
        <family val="2"/>
      </rPr>
      <t xml:space="preserve"> </t>
    </r>
  </si>
  <si>
    <t>Código</t>
  </si>
  <si>
    <t>Descrição</t>
  </si>
  <si>
    <t>PAGA</t>
  </si>
  <si>
    <t>PAGA(Estim)</t>
  </si>
  <si>
    <t>3.0.00.00.00.00.00</t>
  </si>
  <si>
    <t>DESPESAS CORRENTES</t>
  </si>
  <si>
    <t>3.1.00.00.00.00.00</t>
  </si>
  <si>
    <t>PESSOAL E ENCARGOS SOCIAIS</t>
  </si>
  <si>
    <t>Pessoal  - Executivo / Indiretes</t>
  </si>
  <si>
    <t>Pessoal  - Legislativo</t>
  </si>
  <si>
    <r>
      <t xml:space="preserve">Pessoal   - </t>
    </r>
    <r>
      <rPr>
        <b/>
        <sz val="12"/>
        <color indexed="10"/>
        <rFont val="Arial"/>
        <family val="2"/>
      </rPr>
      <t>Restos a Pagar Pagos</t>
    </r>
  </si>
  <si>
    <t>3.1.91.00.00.00.00</t>
  </si>
  <si>
    <r>
      <t>Despesas Com Pessoal  -</t>
    </r>
    <r>
      <rPr>
        <b/>
        <sz val="12"/>
        <color indexed="10"/>
        <rFont val="Arial"/>
        <family val="2"/>
      </rPr>
      <t xml:space="preserve"> INTRAORÇAMENTÁRIAS</t>
    </r>
  </si>
  <si>
    <t>3.2.00.00.00.00.00</t>
  </si>
  <si>
    <t>JUROS E ENCARGOS DA DÍVIDA</t>
  </si>
  <si>
    <t>Juros e Encargos da Dívida - Executiv / Indiretas</t>
  </si>
  <si>
    <t>Juros e Encargos da Dívida - Legislativo</t>
  </si>
  <si>
    <r>
      <t xml:space="preserve">Juros e encargos da Dívida - </t>
    </r>
    <r>
      <rPr>
        <b/>
        <sz val="12"/>
        <color indexed="10"/>
        <rFont val="Arial"/>
        <family val="2"/>
      </rPr>
      <t xml:space="preserve">Restos a Pagar Pagos </t>
    </r>
  </si>
  <si>
    <t>3.2.91.00.00.00.00</t>
  </si>
  <si>
    <r>
      <t xml:space="preserve">Juros e encargos da Dívida - </t>
    </r>
    <r>
      <rPr>
        <b/>
        <sz val="12"/>
        <color indexed="10"/>
        <rFont val="Arial"/>
        <family val="2"/>
      </rPr>
      <t>INTRAORÇAMENTÁRIAS</t>
    </r>
  </si>
  <si>
    <t>3.3.00.00.00.00.00</t>
  </si>
  <si>
    <t>OUTRAS DESPESAS CORRENTES</t>
  </si>
  <si>
    <t>Outras Despesas Correntes - Executivo</t>
  </si>
  <si>
    <t>Outras Despesas Correntes - Legislativo</t>
  </si>
  <si>
    <r>
      <t>Outras Despesas Correntes  -</t>
    </r>
    <r>
      <rPr>
        <b/>
        <sz val="12"/>
        <color indexed="10"/>
        <rFont val="Arial"/>
        <family val="2"/>
      </rPr>
      <t xml:space="preserve"> Restos a Pagar Pagos</t>
    </r>
  </si>
  <si>
    <t>3.3.91.00.00.00.00</t>
  </si>
  <si>
    <r>
      <t xml:space="preserve">Outras Despesas Correntes - </t>
    </r>
    <r>
      <rPr>
        <b/>
        <sz val="12"/>
        <color indexed="10"/>
        <rFont val="Arial"/>
        <family val="2"/>
      </rPr>
      <t>INTRAORÇAMENTÁRIAS</t>
    </r>
  </si>
  <si>
    <t/>
  </si>
  <si>
    <t>4.0.00.00.00.00.00</t>
  </si>
  <si>
    <t>DESPESAS DE CAPITAL</t>
  </si>
  <si>
    <t>4.4.00.00.00.00.00</t>
  </si>
  <si>
    <t>INVESTIMENTOS</t>
  </si>
  <si>
    <t>Investimentos - Executvi / Indiretas</t>
  </si>
  <si>
    <t>Investimentos - Legislativo</t>
  </si>
  <si>
    <t>4.4.90.00.00.00.00</t>
  </si>
  <si>
    <r>
      <t xml:space="preserve">Investimentos  - </t>
    </r>
    <r>
      <rPr>
        <b/>
        <sz val="12"/>
        <color indexed="10"/>
        <rFont val="Arial"/>
        <family val="2"/>
      </rPr>
      <t>Restos a Pagar Pagos</t>
    </r>
  </si>
  <si>
    <t>4.4.91.00.00.00.00</t>
  </si>
  <si>
    <r>
      <t xml:space="preserve">Investimentos  - </t>
    </r>
    <r>
      <rPr>
        <b/>
        <sz val="12"/>
        <color indexed="10"/>
        <rFont val="Arial"/>
        <family val="2"/>
      </rPr>
      <t>INTRAORÇAMENTÁRIAS</t>
    </r>
  </si>
  <si>
    <t>4.5.00.00.00.00.00</t>
  </si>
  <si>
    <t>INVERSÕES FINANCEIRAS</t>
  </si>
  <si>
    <t>4.5.90.66.00.00.00</t>
  </si>
  <si>
    <t>Concessão de Empréstimos e Financiamentos</t>
  </si>
  <si>
    <t xml:space="preserve">4.5.90.99.00.00.00 </t>
  </si>
  <si>
    <t>Outras Inversões Financeiras - Executvi / Indiretas</t>
  </si>
  <si>
    <t>Outras Inversões Financeiras - Legislativo</t>
  </si>
  <si>
    <r>
      <t xml:space="preserve">Outras Inversões Financeiras - </t>
    </r>
    <r>
      <rPr>
        <b/>
        <sz val="12"/>
        <color indexed="10"/>
        <rFont val="Arial"/>
        <family val="2"/>
      </rPr>
      <t>Restos a a  Pagar Pagos</t>
    </r>
  </si>
  <si>
    <t xml:space="preserve">4.5.91.00.00.00.00 </t>
  </si>
  <si>
    <r>
      <t xml:space="preserve">Inversões Financeiras - </t>
    </r>
    <r>
      <rPr>
        <b/>
        <sz val="12"/>
        <color indexed="10"/>
        <rFont val="Arial"/>
        <family val="2"/>
      </rPr>
      <t>INTRAORÇAMENTÁRIAS</t>
    </r>
  </si>
  <si>
    <t>4.6.00.00.00.00.00</t>
  </si>
  <si>
    <t>AMORTIZAÇÃO DA DÍVIDA PÚBLICA</t>
  </si>
  <si>
    <t>Amortização da Dívida  - Executivo / Indiretas</t>
  </si>
  <si>
    <t>Amortização da Dívida  - Legislativo</t>
  </si>
  <si>
    <r>
      <t xml:space="preserve">Amortização da Dívida  - </t>
    </r>
    <r>
      <rPr>
        <b/>
        <sz val="12"/>
        <color indexed="10"/>
        <rFont val="Arial"/>
        <family val="2"/>
      </rPr>
      <t>Restos a Pagar Pagos</t>
    </r>
  </si>
  <si>
    <t>4.6.91.00.00.00.00</t>
  </si>
  <si>
    <r>
      <t xml:space="preserve">Amortização da Dívida  - </t>
    </r>
    <r>
      <rPr>
        <b/>
        <sz val="12"/>
        <color indexed="10"/>
        <rFont val="Arial"/>
        <family val="2"/>
      </rPr>
      <t>INTRAORÇAMENTÁRIAS</t>
    </r>
  </si>
  <si>
    <t xml:space="preserve">TOTAL DAS DESPESAS CONSIDERADAS </t>
  </si>
  <si>
    <t>Operação de Crédito Externo</t>
  </si>
  <si>
    <t xml:space="preserve">RESULTADOS </t>
  </si>
  <si>
    <t>REALIZADO</t>
  </si>
  <si>
    <t>FISCAIS</t>
  </si>
  <si>
    <t>1. RECEITA CORRENTE LÍQUIDA</t>
  </si>
  <si>
    <t>2. RECEITAS DE TRIBUTOS</t>
  </si>
  <si>
    <t>3. RECEITAS FINANCEIRAS</t>
  </si>
  <si>
    <t>4. RENÚNCIA FISCAL</t>
  </si>
  <si>
    <t>5. VALOR LÍQUIDO DO FUNDEF</t>
  </si>
  <si>
    <t>6. TRANSFERÊNCIAS DA UNIÃO</t>
  </si>
  <si>
    <t>7. TRANSFERÊNCIAS DOS ESTADOS</t>
  </si>
  <si>
    <t>8. OPERAÇÕES DE CRÉDITO</t>
  </si>
  <si>
    <t>9. AROS</t>
  </si>
  <si>
    <t>10. PESSOAL ATIVO</t>
  </si>
  <si>
    <t>11. PESSOAL INATIVO</t>
  </si>
  <si>
    <t>12. PENSIONISTAS</t>
  </si>
  <si>
    <t>13. SERVIÇOS DE TERCEIROS</t>
  </si>
  <si>
    <t>14. OUTROS CUSTEIOS CORRENTES</t>
  </si>
  <si>
    <t>15. INVESTIMENTOS</t>
  </si>
  <si>
    <t>16. ENCARGOS DA DÍVIDA</t>
  </si>
  <si>
    <t>17. AMORTIZAÇÕES DA DÍVIDA</t>
  </si>
  <si>
    <t>18. DESPESAS FINANCEIRAS</t>
  </si>
  <si>
    <t>19. RESULTADO PRIMÁRIO</t>
  </si>
  <si>
    <t>20. RESULTADO NOMINAL</t>
  </si>
  <si>
    <t xml:space="preserve">NOTA: Conforme consta na página 79 da 14ª Edição do Manual dos Demonstrativos Fiscais, não se aplica, para fins de estimativas de metas fiscais da LDO a necessidade de equilíbrio entre receitas e despesas exigido para a Lei Orçamentária Anual. </t>
  </si>
  <si>
    <r>
      <rPr>
        <b/>
        <sz val="12"/>
        <color indexed="10"/>
        <rFont val="Arial"/>
        <family val="2"/>
      </rPr>
      <t xml:space="preserve">Tabela 02 </t>
    </r>
    <r>
      <rPr>
        <b/>
        <sz val="12"/>
        <rFont val="Arial"/>
        <family val="2"/>
      </rPr>
      <t xml:space="preserve">- Memória de Cálculo das Estimativas das </t>
    </r>
    <r>
      <rPr>
        <b/>
        <sz val="12"/>
        <color indexed="10"/>
        <rFont val="Arial"/>
        <family val="2"/>
      </rPr>
      <t>Receitas específicas do RPPS</t>
    </r>
  </si>
  <si>
    <t>1.2.1.8.01.0.0.00.00.00</t>
  </si>
  <si>
    <t>Contribuição para o Regime Próprio de Previdência Social - RPPS (dos servidores)</t>
  </si>
  <si>
    <t>1.3.2.1.00.4.0.00.00.00</t>
  </si>
  <si>
    <t xml:space="preserve">Remuneração dos Recursos do Regime Próprio de Previdência Social - RPPS </t>
  </si>
  <si>
    <t>Cessão de Direitos /  Venda da Folha dos Aposentados e Pensionistas</t>
  </si>
  <si>
    <t>Demais Receitas Patrimoniais do RPPS</t>
  </si>
  <si>
    <t>Multas Administrativas, Contratuais e Judiciais recebidas pelo RPPS</t>
  </si>
  <si>
    <t>1.9.9.0.03.0.0.00.00.00</t>
  </si>
  <si>
    <t>Compensações Financeiras entre o Regime Geral e os Regimes Próprios de Previdência dos Servidores</t>
  </si>
  <si>
    <t>Outras Receitas (demais receitas diversas do RPPS)</t>
  </si>
  <si>
    <t>Outras Receitas Diretamente Arrecadadas pelo RPPS - Principal</t>
  </si>
  <si>
    <t xml:space="preserve">Receitas Correntes Intraorçamentárias </t>
  </si>
  <si>
    <r>
      <t xml:space="preserve">Receitas Correntes Intraorçamentárias </t>
    </r>
    <r>
      <rPr>
        <b/>
        <sz val="10"/>
        <color indexed="10"/>
        <rFont val="Arial"/>
        <family val="2"/>
      </rPr>
      <t>- Financeiras/Não Primárias</t>
    </r>
  </si>
  <si>
    <r>
      <t>( R ) Deduções da Receita</t>
    </r>
    <r>
      <rPr>
        <b/>
        <sz val="10"/>
        <color indexed="10"/>
        <rFont val="Arial"/>
        <family val="2"/>
      </rPr>
      <t xml:space="preserve">  -  Digitar com Sinal Negativo</t>
    </r>
  </si>
  <si>
    <t>9.1.3.2.1.00.0.0.00.00</t>
  </si>
  <si>
    <t>9.1.3.2.1.00.0.0</t>
  </si>
  <si>
    <t>Deduções da Receita de Rendimentos de Aplicações do RPPS</t>
  </si>
  <si>
    <t>Demais Dedu.da Receita Corrente do RPPS</t>
  </si>
  <si>
    <r>
      <t>Demais Deduções da Receita de Capital</t>
    </r>
    <r>
      <rPr>
        <sz val="10"/>
        <color indexed="10"/>
        <rFont val="Arial"/>
        <family val="2"/>
      </rPr>
      <t xml:space="preserve"> </t>
    </r>
  </si>
  <si>
    <t>TOTAL DAS RECEITAS ARRECADADAS PELO RPPS</t>
  </si>
  <si>
    <r>
      <t>Memória de Cálculo das Estimativas de</t>
    </r>
    <r>
      <rPr>
        <b/>
        <sz val="12"/>
        <color indexed="10"/>
        <rFont val="Arial"/>
        <family val="2"/>
      </rPr>
      <t xml:space="preserve"> Pagamento das Despesas</t>
    </r>
    <r>
      <rPr>
        <b/>
        <sz val="12"/>
        <rFont val="Arial"/>
        <family val="2"/>
      </rPr>
      <t xml:space="preserve"> - do RPPS</t>
    </r>
  </si>
  <si>
    <t xml:space="preserve">Pessoal  do  R P P S </t>
  </si>
  <si>
    <t xml:space="preserve">Juros e encargos da Dívida RPPS </t>
  </si>
  <si>
    <t>Outras Despesas Correntes  RPPS</t>
  </si>
  <si>
    <t xml:space="preserve">Investimentos  RPPS </t>
  </si>
  <si>
    <t>Outras Inversões Financeiras - RPPS</t>
  </si>
  <si>
    <t>Amortização da Dívida  - RPPS</t>
  </si>
  <si>
    <r>
      <rPr>
        <b/>
        <sz val="10"/>
        <color indexed="10"/>
        <rFont val="Arial"/>
        <family val="2"/>
      </rPr>
      <t>Tabela 03 -</t>
    </r>
    <r>
      <rPr>
        <b/>
        <sz val="10"/>
        <color indexed="8"/>
        <rFont val="Arial"/>
        <family val="2"/>
      </rPr>
      <t xml:space="preserve"> Estimativas para a Receita Corrente Líquida</t>
    </r>
  </si>
  <si>
    <t>ESPECIFICAÇÃO</t>
  </si>
  <si>
    <t>I - RECEITAS CORRENTES (Exceto Intraorçamentárias e recursos do RPPS)</t>
  </si>
  <si>
    <t>II - DEDUÇÕES</t>
  </si>
  <si>
    <t xml:space="preserve">Deduções da Receita Corrente </t>
  </si>
  <si>
    <t>Outras deduções</t>
  </si>
  <si>
    <t>IV - RECEITA CORRENTE LÍQUIDA PREVISTA (I-II+III)</t>
  </si>
  <si>
    <t xml:space="preserve">  (-)  Recursos de Emendas Parlamentares Individuais (código de natureza  1.7.1.0.00.00.00 com complemento de vínculo 3110)</t>
  </si>
  <si>
    <t>V - Receita Corrente Líquida para Fins de Endividamento</t>
  </si>
  <si>
    <t xml:space="preserve">  (-)  Recursos de Emendas Parlamentares de Bancada (código de natureza  1.7.1.0.00.00.00 com complemento de vínculo 3120)</t>
  </si>
  <si>
    <t>VI - Receita Corrente Líquida p/Despesas com Pessoal</t>
  </si>
  <si>
    <r>
      <rPr>
        <b/>
        <sz val="11"/>
        <color indexed="10"/>
        <rFont val="Arial"/>
        <family val="2"/>
      </rPr>
      <t>Tabela 04 -</t>
    </r>
    <r>
      <rPr>
        <b/>
        <sz val="11"/>
        <color indexed="8"/>
        <rFont val="Arial"/>
        <family val="2"/>
      </rPr>
      <t xml:space="preserve"> Estimativa de Limites de Gastos com Pessoal do Poder Executivo e Legislativo para o período de 2025 a 2027</t>
    </r>
  </si>
  <si>
    <t>PODER EXECUTIVO</t>
  </si>
  <si>
    <t>Limite Máximo Legal   -  54 % da  RCL (alínea “b” do inciso III do artigo 20 da LRF)</t>
  </si>
  <si>
    <t>Limite Prudencial - 51,30 % da RCL (parágrafo único do artigo 22 daLRF)</t>
  </si>
  <si>
    <t>Limite de Alerta - 48,60 % da RCL (inciso II do § 1º do artigo 59 da LRF)</t>
  </si>
  <si>
    <t xml:space="preserve">PODER LEGISLATIVO </t>
  </si>
  <si>
    <t>Limite Máximo Legal   -  6 % da  RCL (alínea “b” do inciso III do artigo 20 da LRF)</t>
  </si>
  <si>
    <t>Limite Prudencial - 5,70 % da RCL (parágrafo único do artigo 22 daLRF)</t>
  </si>
  <si>
    <t>Limite de Alerta -  5,40 % da RCL (inciso II do § 1º do artigo 59 da LRF)</t>
  </si>
  <si>
    <r>
      <rPr>
        <b/>
        <sz val="16"/>
        <color indexed="10"/>
        <rFont val="Calibri"/>
        <family val="2"/>
      </rPr>
      <t xml:space="preserve">TABELA 05 </t>
    </r>
    <r>
      <rPr>
        <b/>
        <sz val="16"/>
        <rFont val="Calibri"/>
        <family val="2"/>
      </rPr>
      <t xml:space="preserve">- Demonstrativo da Evolução da Dívida Consolidada Líquida </t>
    </r>
  </si>
  <si>
    <t>Exercício</t>
  </si>
  <si>
    <t>Saldo</t>
  </si>
  <si>
    <t>Reestimativa</t>
  </si>
  <si>
    <t>Previsão (Saldo Médio)</t>
  </si>
  <si>
    <t xml:space="preserve"> DÍVIDA CONSOLIDADA (I)</t>
  </si>
  <si>
    <t xml:space="preserve">    Dívida Mobiliária</t>
  </si>
  <si>
    <t xml:space="preserve">    Dívida Contratual (inclusive parcelamentos)</t>
  </si>
  <si>
    <t xml:space="preserve">    Precatórios posteriores a 05-05-2000</t>
  </si>
  <si>
    <t>DISPONIBILIDADES DE CAIXA (II)</t>
  </si>
  <si>
    <t xml:space="preserve">   Disponibilidade da Caixa Bruta - Excet RPPS</t>
  </si>
  <si>
    <t xml:space="preserve">   (-) Restos a Pagar Processados - Excto restos do RPPS</t>
  </si>
  <si>
    <t>DIVIDA CONSOLIDADA LÍQUIDA (III = I - II)</t>
  </si>
  <si>
    <t>Previsão de comprometimento da RCL com a Dívida Consolidada Líquida</t>
  </si>
  <si>
    <t>Cronograma Anual de Operações de Crédito e  de Amortização e Serviço da Dívida</t>
  </si>
  <si>
    <t>Valores em R$</t>
  </si>
  <si>
    <t xml:space="preserve">Operações de Crédito / Pagamentos </t>
  </si>
  <si>
    <t>Realizado</t>
  </si>
  <si>
    <t>Previsão</t>
  </si>
  <si>
    <t>2.1 - Operações de Crédito</t>
  </si>
  <si>
    <t>2.2 Encargos - Exceto RPPS</t>
  </si>
  <si>
    <t>2.3 Amortizações - Exceto RPPS</t>
  </si>
  <si>
    <t xml:space="preserve"> 2.2.3 Dívida Mobiliária</t>
  </si>
  <si>
    <t>Fonte: Sistema &lt;Nome&gt;, Unidade Responsável &lt;Nome&gt;, Data da emissão &lt;dd/mmm/aaaa&gt; e hora de emissão &lt;hhh e mmm&gt;</t>
  </si>
  <si>
    <t>LEI DE DIRETRIZES ORÇAMENTÁRIAS</t>
  </si>
  <si>
    <t>ANEXO DE  METAS FISCAIS</t>
  </si>
  <si>
    <t>METAS ANUAIS</t>
  </si>
  <si>
    <t>AMF - Demonstrativo 1 (LRF, art. 4º, § 1º)</t>
  </si>
  <si>
    <t>Valor</t>
  </si>
  <si>
    <t>% PIB</t>
  </si>
  <si>
    <t>% RCL</t>
  </si>
  <si>
    <t>Corrente</t>
  </si>
  <si>
    <t>Constante</t>
  </si>
  <si>
    <t>(a / PIB)</t>
  </si>
  <si>
    <t>(a / RCL)</t>
  </si>
  <si>
    <t>(b / PIB)</t>
  </si>
  <si>
    <t>(b / RCL)</t>
  </si>
  <si>
    <t>(c / PIB)</t>
  </si>
  <si>
    <t>(c / RCL)</t>
  </si>
  <si>
    <t>(a)</t>
  </si>
  <si>
    <t>x 100</t>
  </si>
  <si>
    <t>(b)</t>
  </si>
  <si>
    <t>(c)</t>
  </si>
  <si>
    <r>
      <t xml:space="preserve"> Receita Total </t>
    </r>
    <r>
      <rPr>
        <sz val="10"/>
        <color indexed="10"/>
        <rFont val="Calibri"/>
        <family val="2"/>
      </rPr>
      <t>(Exceto Fontes RPPS)</t>
    </r>
  </si>
  <si>
    <t>Preenchimento Opcional Cfe. Item 02.01.03.01 da 14ª Edição do MDF</t>
  </si>
  <si>
    <t xml:space="preserve"> Receitas Primárias (Exceto Fontes RPPS) - I</t>
  </si>
  <si>
    <t xml:space="preserve"> Receitas Primárias Correntes</t>
  </si>
  <si>
    <t xml:space="preserve"> Impostos, Taxas e Contribuições de Melhoria</t>
  </si>
  <si>
    <t xml:space="preserve"> Transferências Correntes</t>
  </si>
  <si>
    <t xml:space="preserve"> Demais Receitas Primárias Correntes</t>
  </si>
  <si>
    <t xml:space="preserve"> Receitas Primárias de Capital</t>
  </si>
  <si>
    <r>
      <t xml:space="preserve"> Despesa Total </t>
    </r>
    <r>
      <rPr>
        <sz val="10"/>
        <color indexed="10"/>
        <rFont val="Calibri"/>
        <family val="2"/>
      </rPr>
      <t xml:space="preserve"> (Exceto Fontes RPPS)</t>
    </r>
  </si>
  <si>
    <t xml:space="preserve"> Despesas Primárias (Exceto Fontes RPPS) - II</t>
  </si>
  <si>
    <t xml:space="preserve"> Despesas Primárias Correntes</t>
  </si>
  <si>
    <t xml:space="preserve"> Pessoal e Encargos Sociais</t>
  </si>
  <si>
    <t xml:space="preserve"> Outras Despesas Correntes</t>
  </si>
  <si>
    <t xml:space="preserve"> Despesas Primárias de Capital </t>
  </si>
  <si>
    <t xml:space="preserve"> Pagamento de Restos a Pagar de Despesas Primárias</t>
  </si>
  <si>
    <r>
      <t xml:space="preserve"> Receita Total </t>
    </r>
    <r>
      <rPr>
        <sz val="10"/>
        <color indexed="10"/>
        <rFont val="Calibri"/>
        <family val="2"/>
      </rPr>
      <t>(Com Fontes RPPS)</t>
    </r>
  </si>
  <si>
    <t xml:space="preserve"> Receitas Primárias (Com Fontes RPPS) - III</t>
  </si>
  <si>
    <r>
      <t xml:space="preserve"> Despesa Total </t>
    </r>
    <r>
      <rPr>
        <sz val="10"/>
        <color indexed="10"/>
        <rFont val="Calibri"/>
        <family val="2"/>
      </rPr>
      <t xml:space="preserve"> (Com Fontes RPPS)</t>
    </r>
  </si>
  <si>
    <t xml:space="preserve"> Despesas Primárias (Com Fontes RPPS) - IV</t>
  </si>
  <si>
    <t xml:space="preserve"> Resultado Primário (SEM RPPS) - Acima da Linha (V) = (I – II)</t>
  </si>
  <si>
    <t xml:space="preserve"> Resultado Primário (COM RPPS) - Acima da Linha (VI) = V + (III –IV)</t>
  </si>
  <si>
    <t>Juros, Encargos e Variações Monetárias Ativos (Exceto RPPS)</t>
  </si>
  <si>
    <t>Juros, Encargos e Variações Monetárias Passivos (Exceto RPPS)</t>
  </si>
  <si>
    <t xml:space="preserve"> Dívida Pública Consolidada (DC)</t>
  </si>
  <si>
    <t xml:space="preserve"> Dívida Consolidada Líquida (DCL)</t>
  </si>
  <si>
    <t xml:space="preserve"> Resultado Nominal (SEM RPPS) - Abaixo da linha</t>
  </si>
  <si>
    <t>FONTE: Sistema &lt;Nome&gt;, Unidade Responsável &lt;Nome&gt;, Data da emissão &lt;dd/mmm/aaaa&gt; e hora de emissão &lt;hhh e mmm&gt;</t>
  </si>
  <si>
    <r>
      <rPr>
        <b/>
        <sz val="10"/>
        <rFont val="Calibri"/>
        <family val="2"/>
      </rPr>
      <t xml:space="preserve">NOTA 1 </t>
    </r>
    <r>
      <rPr>
        <sz val="10"/>
        <rFont val="Calibri"/>
        <family val="2"/>
      </rPr>
      <t>: A elaboração desse demonstrativo seguiu a metodologia de cálculo disposta no item 03.06.00 - Anexo 6 da Parte III do MDF. Portanto, não foram consideradas as receitas e despesas com as fontes do RPPS no cálculo do Resultado Primário acima da linha. Também não devem ser consideradas as dívidas, disponibilidade de caixa e haveres financeiros do RPPS no cálculo do Resultado Primário abaixo da linha.</t>
    </r>
  </si>
  <si>
    <r>
      <rPr>
        <b/>
        <sz val="10"/>
        <rFont val="Calibri"/>
        <family val="2"/>
      </rPr>
      <t>NOTA 2</t>
    </r>
    <r>
      <rPr>
        <sz val="10"/>
        <rFont val="Calibri"/>
        <family val="2"/>
      </rPr>
      <t xml:space="preserve">: Conforme consta na página 79 da 14ª Edição do Manual dos Demonstrativos Fiscais, </t>
    </r>
    <r>
      <rPr>
        <b/>
        <sz val="10"/>
        <rFont val="Calibri"/>
        <family val="2"/>
      </rPr>
      <t xml:space="preserve">não se aplica nesse demonstrativo a necessidade de equilíbrio entre receitas e despesas exigido para a Lei Orçamentária Anual. </t>
    </r>
  </si>
  <si>
    <r>
      <rPr>
        <b/>
        <sz val="10"/>
        <rFont val="Calibri"/>
        <family val="2"/>
      </rPr>
      <t>Nota 3</t>
    </r>
    <r>
      <rPr>
        <sz val="10"/>
        <rFont val="Calibri"/>
        <family val="2"/>
      </rPr>
      <t>: foi considerada a prjeção da Receita Corrente Líquida ajustada para cálculo dos limites de endividamento, ou seja, após a exclusão dos valores de transferências obrigatórias da União relativas às emendas individuais, conforme disciplina o § 1º, art. 166-A da CF.</t>
    </r>
  </si>
  <si>
    <t xml:space="preserve">AVALIAÇÃO DO CUMPRIMENTO DAS METAS FISCAIS DO EXERCÍCIO ANTERIOR                            </t>
  </si>
  <si>
    <t>AMF - Demonstrativo 2 (LRF, art. 4º, §2º, inciso I)</t>
  </si>
  <si>
    <t>Metas Previstas em 2023</t>
  </si>
  <si>
    <t>Metas Realizadas em 2023</t>
  </si>
  <si>
    <t>Variação</t>
  </si>
  <si>
    <t>%</t>
  </si>
  <si>
    <t>(c) = (b-a)</t>
  </si>
  <si>
    <t>(c/a) x 100</t>
  </si>
  <si>
    <t>Receita Total (EXCETO FONTES RPPS)</t>
  </si>
  <si>
    <t>Preenchimento opcional cfe. Item 02.01.03.01 da 14ª edição do MDF</t>
  </si>
  <si>
    <t>Receitas Primárias (EXCETO FONTES RPPS) (I)</t>
  </si>
  <si>
    <t>Despesa Total (EXCETO FONTES RPPS)</t>
  </si>
  <si>
    <t>Despesas Primárias (EXCETO FONTES RPPS) (II)</t>
  </si>
  <si>
    <t>Receita Total (COM FONTES RPPS)</t>
  </si>
  <si>
    <t>Receitas Primárias (COM FONTES RPPS) (III)</t>
  </si>
  <si>
    <t>Despesa Total (COM FONTES RPPS)</t>
  </si>
  <si>
    <t>Despesas Primárias (COM FONTES RPPS) (IV)</t>
  </si>
  <si>
    <t>Resultado Primário (SEM RPPS) - Acima da Linha (V) = (I – II)</t>
  </si>
  <si>
    <t>Resultado Primário (COM RPPS) – Acima da Linha (VI) = (V) + (III – IV)</t>
  </si>
  <si>
    <t>Dívida Pública Consolidada (DC)</t>
  </si>
  <si>
    <t>Dívida Consolidada Líquida – DCL</t>
  </si>
  <si>
    <t>Resultado Nominal (SEM RPPS) - Abaixo da Linha</t>
  </si>
  <si>
    <t>Valor da Receita Corrente Líquida Prevista para 2023</t>
  </si>
  <si>
    <t>Valor da Receita Corrente Líquida Arrecadada em 2023</t>
  </si>
  <si>
    <r>
      <rPr>
        <b/>
        <sz val="10"/>
        <rFont val="Calibri"/>
        <family val="2"/>
      </rPr>
      <t>NOTA:</t>
    </r>
    <r>
      <rPr>
        <sz val="10"/>
        <rFont val="Calibri"/>
        <family val="2"/>
      </rPr>
      <t xml:space="preserve"> A elaboração desse demonstrativo deve seguir a metodologia de cálculo disposta no item 03.06.00 - Anexo 6 da Parte III do MDF. Portanto, não devem ser consideradas as receitas e despesas com as fontes do RPPS no cálculo acima da linha. Também não devem ser consideradas as dívidas, disponibilidade de caixa e haveres financeiros do RPPS no cálculo abaixo da linha.</t>
    </r>
  </si>
  <si>
    <t>ANEXO DE METAS FISCAIS</t>
  </si>
  <si>
    <t>METAS FISCAIS ATUAIS COMPARADAS COM AS FIXADAS NOS TRÊS EXERCÍCIOS ANTERIORES</t>
  </si>
  <si>
    <t>AMF – Demonstrativo 3 (LRF, art.4º, §2º, inciso II)</t>
  </si>
  <si>
    <t>VALORES A PREÇOS CORRENTES</t>
  </si>
  <si>
    <t>VALORES A PREÇOS CONSTANTES</t>
  </si>
  <si>
    <r>
      <rPr>
        <b/>
        <sz val="10"/>
        <rFont val="Calibri"/>
        <family val="2"/>
      </rPr>
      <t>NOTA</t>
    </r>
    <r>
      <rPr>
        <sz val="10"/>
        <rFont val="Calibri"/>
        <family val="2"/>
      </rPr>
      <t>: A elaboração desse demonstrativo deve seguir a metodologia de cálculo disposta no item 03.06.00 - Anexo 6 da Parte III do MDF. Portanto, não devem ser consideradas as receitas e despesas com as fontes do RPPS no cálculo acima da linha. Também não devem ser consideradas as dívidas, disponibilidade de caixa e haveres financeiros do RPPS no cálculo abaixo da linha.</t>
    </r>
  </si>
  <si>
    <t>EVOLUÇÃO DO PATRIMÔNIO LÍQUIDO</t>
  </si>
  <si>
    <t xml:space="preserve"> EXERCÍCIO DE 2025</t>
  </si>
  <si>
    <t>AMF - Demonstrativo 4 (LRF, art.4º, §2º, inciso III)</t>
  </si>
  <si>
    <t>PATRIMÔNIO LÍQUIDO</t>
  </si>
  <si>
    <t>Patrimônio/Capital</t>
  </si>
  <si>
    <t>Reservas</t>
  </si>
  <si>
    <t>Resultado Acumulado</t>
  </si>
  <si>
    <t>Ajustes de Exerc.Anteriores</t>
  </si>
  <si>
    <t>TOTAL</t>
  </si>
  <si>
    <t>REGIME PREVIDENCIÁRIO</t>
  </si>
  <si>
    <t>Ajustes de Exerc.Anteiores</t>
  </si>
  <si>
    <t>CONSOLIDAÇÃO GERAL</t>
  </si>
  <si>
    <t xml:space="preserve">   </t>
  </si>
  <si>
    <t>ORIGEM E APLICAÇÃO DOS RECURSOS OBTIDOS COM A ALIENAÇÃO DE ATIVOS</t>
  </si>
  <si>
    <t>EXERCÍCIO DE 2025</t>
  </si>
  <si>
    <t>AMF - Demonstrativo 5 (LRF, art.4º, §2º, inciso III)</t>
  </si>
  <si>
    <t>RECEITAS REALIZADAS</t>
  </si>
  <si>
    <t>SALDOS DE EXERCÍCIOS ANTERIORES A 2021</t>
  </si>
  <si>
    <t>RECEITAS DE CAPITAL</t>
  </si>
  <si>
    <t xml:space="preserve">    ALIENAÇÃO DE ATIVOS </t>
  </si>
  <si>
    <t xml:space="preserve">        Alienação de Bens Móveis</t>
  </si>
  <si>
    <t xml:space="preserve">        Alienação de Bens Imóveis</t>
  </si>
  <si>
    <t xml:space="preserve">        Alienação de Bens Intangíveis</t>
  </si>
  <si>
    <t>Rendimento de Aplicações Financeira de Alienaç de Bens</t>
  </si>
  <si>
    <t xml:space="preserve">TOTAL </t>
  </si>
  <si>
    <t>DESPESAS  EXECUTADAS</t>
  </si>
  <si>
    <t>APLICAÇÃO DOS RECURSOS DA ALIENAÇÃO DE ATIVOS</t>
  </si>
  <si>
    <t xml:space="preserve">   DESPESAS DE CAPITAL</t>
  </si>
  <si>
    <t xml:space="preserve">         Investimentos</t>
  </si>
  <si>
    <t xml:space="preserve">         Inversões Financeiras</t>
  </si>
  <si>
    <t xml:space="preserve">        Amortização da Dívida</t>
  </si>
  <si>
    <t xml:space="preserve">    DESPESAS CORRENTES DOS REGIMES DE PREVID.</t>
  </si>
  <si>
    <t xml:space="preserve">        Regime Geral de Previdência Social</t>
  </si>
  <si>
    <t xml:space="preserve">        Regime Próprio dos Servidores Públicos  </t>
  </si>
  <si>
    <t xml:space="preserve">SALDO FINANCEIRO </t>
  </si>
  <si>
    <t>AVALIAÇÃO DA SITUAÇÃO FINANCEIRA E ATUARIAL DO RPPS</t>
  </si>
  <si>
    <t>AMF - Demonstrativo 6 (LRF, art. 4º, § 2º, inciso IV, alínea "a")</t>
  </si>
  <si>
    <t>RECEITAS E DESPESAS PREVIDENCIÁRIAS DO REGIME PRÓPRIO DE PREVIDÊNCIA DOS SERVIDORES</t>
  </si>
  <si>
    <t>PLANO PREVIDENCIÁRIO</t>
  </si>
  <si>
    <t>RECEITAS PREVIDENCIÁRIAS - RPPS</t>
  </si>
  <si>
    <t>RECEITAS CORRENTES (I)</t>
  </si>
  <si>
    <t xml:space="preserve">Receita de Contribuições dos Segurados </t>
  </si>
  <si>
    <t>Civil</t>
  </si>
  <si>
    <t xml:space="preserve">Ativo </t>
  </si>
  <si>
    <t xml:space="preserve">Inativo </t>
  </si>
  <si>
    <t xml:space="preserve">Pensionista </t>
  </si>
  <si>
    <t>Militar</t>
  </si>
  <si>
    <t xml:space="preserve">    Receita de Contribuições Patronais </t>
  </si>
  <si>
    <t>Receitas Imobiliárias</t>
  </si>
  <si>
    <t>Receitas de Valores Mobiliários</t>
  </si>
  <si>
    <t>Outras Receitas Patrimoniais</t>
  </si>
  <si>
    <t>Compensação Previdenciária do RGPS para o RPPS</t>
  </si>
  <si>
    <r>
      <t>Aportes Periódicos para Amortização de Déficit Atuarial do RPPS (II)</t>
    </r>
    <r>
      <rPr>
        <vertAlign val="superscript"/>
        <sz val="10"/>
        <rFont val="Calibri"/>
        <family val="2"/>
      </rPr>
      <t>1</t>
    </r>
  </si>
  <si>
    <t>RECEITAS DE CAPITAL (III)</t>
  </si>
  <si>
    <t>Alienação de Bens, Direitos e Ativos</t>
  </si>
  <si>
    <t>TOTAL DAS RECEITAS PREVIDENCIÁRIAS RPPS - (IV) = (I + III - II)</t>
  </si>
  <si>
    <t>DESPESAS PREVIDENCIÁRIAS - RPPS</t>
  </si>
  <si>
    <t>Benefícios - Civil</t>
  </si>
  <si>
    <t>Aposentadorias</t>
  </si>
  <si>
    <t>Pensões</t>
  </si>
  <si>
    <t>Outros Benefícios Previdenciários</t>
  </si>
  <si>
    <t>Benefícios - Militar</t>
  </si>
  <si>
    <t>Reformas</t>
  </si>
  <si>
    <t>Outras Despesas Previdenciárias</t>
  </si>
  <si>
    <t>Compensação Previdenciária do RPPS para o RGPS</t>
  </si>
  <si>
    <t>Demais Despesas Previdenciárias</t>
  </si>
  <si>
    <t>TOTAL DAS DESPESAS PREVIDENCIÁRIAS RPPS (V)</t>
  </si>
  <si>
    <r>
      <t>RESULTADO PREVIDENCIÁRIO (VI) = (IV – V)</t>
    </r>
    <r>
      <rPr>
        <b/>
        <vertAlign val="superscript"/>
        <sz val="10"/>
        <rFont val="Calibri"/>
        <family val="2"/>
      </rPr>
      <t>2</t>
    </r>
  </si>
  <si>
    <t>RECURSOS RPPS ARRECADADOS EM EXERCÍCIOS ANTERIORES</t>
  </si>
  <si>
    <t>VALOR</t>
  </si>
  <si>
    <t>RESERVA ORÇAMENTÁRIA DO RPPS</t>
  </si>
  <si>
    <t>APORTES DE RECURSOS PARA O PLANO PREVIDENCIÁRIO DO RPPS</t>
  </si>
  <si>
    <t>Plano de Amortização - Contribuição Patronal Suplementar</t>
  </si>
  <si>
    <t>Plano de Amortização - Aporte Periódico de Valores Predefinidos</t>
  </si>
  <si>
    <t>Outros Aportes para o RPPS</t>
  </si>
  <si>
    <t>Recursos para Cobertura de Déficit Financeiro</t>
  </si>
  <si>
    <t>BENS E DIREITOS DO RPPS</t>
  </si>
  <si>
    <t>Caixa e Equivalentes de Caixa</t>
  </si>
  <si>
    <t>Investimentos e Aplicações</t>
  </si>
  <si>
    <t>Outro Bens e Direitos</t>
  </si>
  <si>
    <t>RECEITAS DA ADMINISTRAÇÃO - RPPS</t>
  </si>
  <si>
    <t>RECEITAS CORRENTES</t>
  </si>
  <si>
    <t>TOTAL DAS RECEITAS DA ADMINISTRAÇÃO RPPS - (XII)</t>
  </si>
  <si>
    <t>DESPESAS DA ADMINISTRAÇÃO - RPPS</t>
  </si>
  <si>
    <t>DESPESAS CORRENTES (XIII)</t>
  </si>
  <si>
    <t>DESPESAS DE CAPITAL (XIV)</t>
  </si>
  <si>
    <t>TOTAL DAS DESPESAS DA ADMINISTRAÇÃO RPPS (XV) = (XIII + XIV)</t>
  </si>
  <si>
    <t>RESULTADO DA ADMINISTRAÇÃO RPPS (XVI) = (XII – XV)</t>
  </si>
  <si>
    <t>PROJEÇÃO ATUARIAL DO REGIME PRÓPRIO DE PREVIDÊNCIA DOS SERVIDORES</t>
  </si>
  <si>
    <t>EXERCÍCIO</t>
  </si>
  <si>
    <t>Receitas
Previdenciárias</t>
  </si>
  <si>
    <t xml:space="preserve">Despesas
Previdenciárias
</t>
  </si>
  <si>
    <t xml:space="preserve">Resultado
Previdenciário
</t>
  </si>
  <si>
    <t xml:space="preserve">Saldo Financeiro 
do Exercício
</t>
  </si>
  <si>
    <t xml:space="preserve"> (a)</t>
  </si>
  <si>
    <t>(c) = (a-b)</t>
  </si>
  <si>
    <t>(d) = (d Exercício Anterior) + (c)</t>
  </si>
  <si>
    <t>NOTA:</t>
  </si>
  <si>
    <t>1 Como a Portaria MTP 1.467/2022 determina que os recursos provenientes desses aportes devem permanecer aplicados, no mínimo, por 5 (cinco) anos, essa receita não deverá compor o total das receitas previdenciárias do período de apuração.</t>
  </si>
  <si>
    <t>2 O resultado previdenciário poderá ser apresentada por meio da diferença entre previsão da receita e a dotação da despesa e entre a receita realizada e a despesa liquidada (do 1º ao 5º bimestre) e a despesa empenhada (no 6º bimestre).</t>
  </si>
  <si>
    <t>ESTIMATIVA E COMPENSAÇÃO DA RENÚNCIA DE RECEITA</t>
  </si>
  <si>
    <t>AMF - Demonstrativo 7 (LRF, art. 4°, § 2°, inciso V)</t>
  </si>
  <si>
    <t>TRIBUTO</t>
  </si>
  <si>
    <t>MODALIDADE</t>
  </si>
  <si>
    <t>SETORES/ PROGRAMAS/ BENEFICIÁRIO</t>
  </si>
  <si>
    <t>RENÚNCIA DE RECEITA PREVISTA</t>
  </si>
  <si>
    <t>COMPENSAÇÃO</t>
  </si>
  <si>
    <t>Contribuintes que optarem pelo pagamento à vista</t>
  </si>
  <si>
    <t>Vide Obsevação</t>
  </si>
  <si>
    <t>abaixo</t>
  </si>
  <si>
    <t xml:space="preserve">          -</t>
  </si>
  <si>
    <t>Nota 1: Os valores da renúncia para 2024 foram previstos de acordo com informações da Administração Tributária do Poder Executivo.</t>
  </si>
  <si>
    <t>2 - Os valores da renúncia projetados para 2025 e 2026, foram calculados a partir dos valores de 2024 aplicando-se, sobre eles, as projeções de inflação para os referidos exercícios a saber:</t>
  </si>
  <si>
    <t>Inflação para 2026:</t>
  </si>
  <si>
    <t>Inflação para 2027:</t>
  </si>
  <si>
    <t xml:space="preserve">MARGEM DE EXPANSÃO DAS DESPESAS OBRIGATÓRIAS DE CARÁTER CONTINUADO  </t>
  </si>
  <si>
    <t>AMF - Demonstrativo 8 (LRF, art. 4°, § 2°, inciso V)</t>
  </si>
  <si>
    <t>EVENTO</t>
  </si>
  <si>
    <t>Valor Previsto 2025</t>
  </si>
  <si>
    <t xml:space="preserve">Aumento Permanente da Receita  </t>
  </si>
  <si>
    <t xml:space="preserve">   Decorrente de Receitas Tributárias</t>
  </si>
  <si>
    <t xml:space="preserve">   Decorrente de Transferências Correntes</t>
  </si>
  <si>
    <t>(-) Transferências Constitucionais</t>
  </si>
  <si>
    <t>(-)  Transferências ao FUNDEB</t>
  </si>
  <si>
    <t>Saldo Final do Aumento Permanente de Receita  (I)</t>
  </si>
  <si>
    <t>Redução Permanente de Despesa (II)</t>
  </si>
  <si>
    <t>Margem Bruta  (III) = (I+II)</t>
  </si>
  <si>
    <t>Saldo Utilizado da Margem Bruta (IV)</t>
  </si>
  <si>
    <t xml:space="preserve">   Novas DOCC</t>
  </si>
  <si>
    <t xml:space="preserve">      Relativas a  Pessoal e Encargos Sociais</t>
  </si>
  <si>
    <t xml:space="preserve">      Relativas a  Outras Despesas Correntes</t>
  </si>
  <si>
    <t xml:space="preserve">   Novas DOCC geradas por PPP</t>
  </si>
  <si>
    <t>Margem Líquida de Expansão de DOCC (V) = (III-IV)</t>
  </si>
  <si>
    <t>ANEXO DE RISCOS FISCAIS</t>
  </si>
  <si>
    <t>DEMONSTRATIVO DE RISCOS FISCAIS E PROVIDÊNCIAS</t>
  </si>
  <si>
    <r>
      <t>ARF (LRF, art 4</t>
    </r>
    <r>
      <rPr>
        <u/>
        <vertAlign val="superscript"/>
        <sz val="10"/>
        <rFont val="Calibri"/>
        <family val="2"/>
      </rPr>
      <t>o</t>
    </r>
    <r>
      <rPr>
        <sz val="10"/>
        <rFont val="Calibri"/>
        <family val="2"/>
      </rPr>
      <t>, § 3</t>
    </r>
    <r>
      <rPr>
        <u/>
        <vertAlign val="superscript"/>
        <sz val="10"/>
        <rFont val="Calibri"/>
        <family val="2"/>
      </rPr>
      <t>o</t>
    </r>
    <r>
      <rPr>
        <sz val="10"/>
        <rFont val="Calibri"/>
        <family val="2"/>
      </rPr>
      <t>)</t>
    </r>
  </si>
  <si>
    <t>PASSIVOS CONTINGENTES</t>
  </si>
  <si>
    <t>PROVIDÊNCIAS</t>
  </si>
  <si>
    <t>Demandas Judiciais</t>
  </si>
  <si>
    <t xml:space="preserve">Abertura e  créditos  mediante  utilização  da
reserva de contingência
</t>
  </si>
  <si>
    <t>Dívidas em Processo de Reconhecimento</t>
  </si>
  <si>
    <t>Avais e Garantias Concedidas</t>
  </si>
  <si>
    <t>Assunção de Passivos</t>
  </si>
  <si>
    <t>Assistências Diversas</t>
  </si>
  <si>
    <t>Outros Passivos Contingentes</t>
  </si>
  <si>
    <t>SUBTOTAL</t>
  </si>
  <si>
    <t>DEMAIS RISCOS FISCAIS PASSIVOS</t>
  </si>
  <si>
    <t>Frustração de Arrecadação</t>
  </si>
  <si>
    <t>Restituição de Tributos a Maior</t>
  </si>
  <si>
    <t>Discrepância de Projeções:</t>
  </si>
  <si>
    <t>Outros Riscos Fiscais</t>
  </si>
  <si>
    <t>LEI DE DIRETRIZES ORÇAMENTÁRIAS - 2025</t>
  </si>
  <si>
    <t>ANEXO IV</t>
  </si>
  <si>
    <t xml:space="preserve">RELATÓRIO SOBRE PROJETOS EM EXECUÇÃO E A EXECUTAR   E DESPESAS COM CONSERVAÇÃO DO PATRIMÔNIO PÚBLICO </t>
  </si>
  <si>
    <t>(Art. 45 da LRF)</t>
  </si>
  <si>
    <t>EXECUÇÃO %</t>
  </si>
  <si>
    <t>RECURSOS PRIORIZADOS PARA 2025</t>
  </si>
  <si>
    <t>IDENTIFICAÇÃO DAS AÇÕES</t>
  </si>
  <si>
    <t>INÍCIO DA EXECUÇÃO</t>
  </si>
  <si>
    <t>VALOR DO PROJETO</t>
  </si>
  <si>
    <t>ATÉ EXERC ANTERIOR - 2023</t>
  </si>
  <si>
    <t>NO EXERCÍCIO DE 2024</t>
  </si>
  <si>
    <t>A EXECUTAR EM 2025</t>
  </si>
  <si>
    <t>PROJETOS EM EXECUÇÃO</t>
  </si>
  <si>
    <t>CONSERVAÇÃO DO PATRIMÔNIO</t>
  </si>
  <si>
    <t>NOVOS PROJETOS</t>
  </si>
  <si>
    <t>Total dos Recursos a Priorizar na LOA</t>
  </si>
  <si>
    <t>Município de :   NOVA PÁDUA</t>
  </si>
  <si>
    <t>OK</t>
  </si>
  <si>
    <t>Pavimentação Asfaltica</t>
  </si>
  <si>
    <t>Centro Cultural</t>
  </si>
  <si>
    <t>Abertura de creditos adicionais a partir da reserva de contingência</t>
  </si>
  <si>
    <t>Limitação de empenho</t>
  </si>
  <si>
    <t>IPTU</t>
  </si>
  <si>
    <t>Taxa coleta lixo</t>
  </si>
  <si>
    <t>Desconto pagamento a vista</t>
  </si>
  <si>
    <t>Fonte: Balancete receita e despesa</t>
  </si>
  <si>
    <t>Fonte: Balanço patrimonial 2021, 2022 e 2023</t>
  </si>
  <si>
    <t>Fonte: Demonstrativo divida fundada- rgf</t>
  </si>
  <si>
    <t>(-) Depósitos restituíveis</t>
  </si>
  <si>
    <t>Fonte; Balancete da Receita, despesa e Cálculo atuarial elaborado pela Lumens</t>
  </si>
  <si>
    <t>Fonte: balancete receita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</si>
</sst>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R$&quot;\ #,##0.00;[Red]\-&quot;R$&quot;\ #,##0.00"/>
    <numFmt numFmtId="44" formatCode="_-&quot;R$&quot;\ * #,##0.00_-;\-&quot;R$&quot;\ * #,##0.00_-;_-&quot;R$&quot;\ * &quot;-&quot;??_-;_-@_-"/>
    <numFmt numFmtId="43" formatCode="_-* #,##0.00_-;\-* #,##0.00_-;_-* &quot;-&quot;??_-;_-@_-"/>
    <numFmt numFmtId="164" formatCode="_(* #,##0.00_);_(* \(#,##0.00\);_(* &quot;-&quot;??_);_(@_)"/>
    <numFmt numFmtId="165" formatCode="&quot;R$ &quot;#,##0.00_);[Red]\(&quot;R$ &quot;#,##0.00\)"/>
    <numFmt numFmtId="166" formatCode="_(&quot;R$&quot;* #,##0.00_);_(&quot;R$&quot;* \(#,##0.00\);_(&quot;R$&quot;* &quot;-&quot;??_);_(@_)"/>
    <numFmt numFmtId="167" formatCode="0_);[Red]\(0\)"/>
    <numFmt numFmtId="168" formatCode="0.0"/>
    <numFmt numFmtId="169" formatCode="0&quot;.&quot;0&quot;.&quot;0&quot;.&quot;0&quot;.&quot;00&quot;.&quot;0&quot;.&quot;0"/>
    <numFmt numFmtId="170" formatCode="#,##0.00_ ;\-#,##0.00\ "/>
    <numFmt numFmtId="171" formatCode="_(* #,##0_);_(* \(#,##0\);_(* &quot;-&quot;??_);_(@_)"/>
  </numFmts>
  <fonts count="67" x14ac:knownFonts="1">
    <font>
      <sz val="10"/>
      <name val="Arial"/>
    </font>
    <font>
      <sz val="10"/>
      <name val="Arial"/>
      <family val="2"/>
    </font>
    <font>
      <b/>
      <sz val="12"/>
      <name val="Arial"/>
      <family val="2"/>
    </font>
    <font>
      <sz val="12"/>
      <name val="Arial"/>
      <family val="2"/>
    </font>
    <font>
      <b/>
      <sz val="12"/>
      <color indexed="17"/>
      <name val="Helv"/>
    </font>
    <font>
      <sz val="12"/>
      <color indexed="17"/>
      <name val="Helv"/>
    </font>
    <font>
      <b/>
      <sz val="10"/>
      <name val="Arial"/>
      <family val="2"/>
    </font>
    <font>
      <sz val="10"/>
      <name val="Arial"/>
      <family val="2"/>
    </font>
    <font>
      <b/>
      <sz val="10"/>
      <color indexed="57"/>
      <name val="Arial"/>
      <family val="2"/>
    </font>
    <font>
      <b/>
      <sz val="14"/>
      <color indexed="57"/>
      <name val="Arial"/>
      <family val="2"/>
    </font>
    <font>
      <b/>
      <sz val="14"/>
      <name val="Arial"/>
      <family val="2"/>
    </font>
    <font>
      <b/>
      <sz val="12"/>
      <name val="Helv"/>
    </font>
    <font>
      <b/>
      <i/>
      <sz val="12"/>
      <name val="Arial"/>
      <family val="2"/>
    </font>
    <font>
      <b/>
      <i/>
      <sz val="9"/>
      <name val="Arial"/>
      <family val="2"/>
    </font>
    <font>
      <sz val="8"/>
      <name val="Arial"/>
      <family val="2"/>
    </font>
    <font>
      <sz val="11"/>
      <name val="Arial"/>
      <family val="2"/>
    </font>
    <font>
      <b/>
      <u/>
      <sz val="12"/>
      <name val="Arial"/>
      <family val="2"/>
    </font>
    <font>
      <sz val="12"/>
      <name val="Helv"/>
    </font>
    <font>
      <sz val="9"/>
      <name val="Arial"/>
      <family val="2"/>
    </font>
    <font>
      <b/>
      <sz val="9"/>
      <name val="Arial"/>
      <family val="2"/>
    </font>
    <font>
      <b/>
      <i/>
      <sz val="11"/>
      <name val="Arial"/>
      <family val="2"/>
    </font>
    <font>
      <sz val="8"/>
      <name val="Arial"/>
      <family val="2"/>
    </font>
    <font>
      <sz val="11"/>
      <color indexed="8"/>
      <name val="Calibri"/>
      <family val="2"/>
    </font>
    <font>
      <sz val="14"/>
      <name val="Arial"/>
      <family val="2"/>
    </font>
    <font>
      <b/>
      <sz val="12"/>
      <color indexed="57"/>
      <name val="Arial"/>
      <family val="2"/>
    </font>
    <font>
      <sz val="14"/>
      <color indexed="17"/>
      <name val="Helv"/>
    </font>
    <font>
      <sz val="10"/>
      <color indexed="10"/>
      <name val="Arial"/>
      <family val="2"/>
    </font>
    <font>
      <b/>
      <sz val="10"/>
      <color indexed="8"/>
      <name val="Arial"/>
      <family val="2"/>
    </font>
    <font>
      <sz val="10"/>
      <color indexed="8"/>
      <name val="Arial"/>
      <family val="2"/>
    </font>
    <font>
      <b/>
      <sz val="11"/>
      <color indexed="8"/>
      <name val="Arial"/>
      <family val="2"/>
    </font>
    <font>
      <sz val="8"/>
      <name val="Arial"/>
      <family val="2"/>
    </font>
    <font>
      <b/>
      <sz val="10"/>
      <name val="Helv"/>
    </font>
    <font>
      <b/>
      <sz val="10"/>
      <color indexed="10"/>
      <name val="Arial"/>
      <family val="2"/>
    </font>
    <font>
      <sz val="10"/>
      <color indexed="57"/>
      <name val="Arial"/>
      <family val="2"/>
    </font>
    <font>
      <b/>
      <sz val="12"/>
      <color indexed="10"/>
      <name val="Arial"/>
      <family val="2"/>
    </font>
    <font>
      <b/>
      <sz val="9"/>
      <color indexed="10"/>
      <name val="Arial"/>
      <family val="2"/>
    </font>
    <font>
      <b/>
      <sz val="11"/>
      <color indexed="10"/>
      <name val="Arial"/>
      <family val="2"/>
    </font>
    <font>
      <vertAlign val="superscript"/>
      <sz val="10"/>
      <name val="Calibri"/>
      <family val="2"/>
    </font>
    <font>
      <b/>
      <vertAlign val="superscript"/>
      <sz val="10"/>
      <name val="Calibri"/>
      <family val="2"/>
    </font>
    <font>
      <u/>
      <sz val="12"/>
      <name val="Arial"/>
      <family val="2"/>
    </font>
    <font>
      <sz val="10"/>
      <name val="Calibri"/>
      <family val="2"/>
    </font>
    <font>
      <b/>
      <sz val="10"/>
      <name val="Calibri"/>
      <family val="2"/>
    </font>
    <font>
      <u/>
      <vertAlign val="superscript"/>
      <sz val="10"/>
      <name val="Calibri"/>
      <family val="2"/>
    </font>
    <font>
      <sz val="10"/>
      <color indexed="10"/>
      <name val="Calibri"/>
      <family val="2"/>
    </font>
    <font>
      <b/>
      <sz val="16"/>
      <name val="Calibri"/>
      <family val="2"/>
    </font>
    <font>
      <b/>
      <sz val="16"/>
      <color indexed="10"/>
      <name val="Calibri"/>
      <family val="2"/>
    </font>
    <font>
      <sz val="10"/>
      <name val="Calibri"/>
      <family val="2"/>
      <scheme val="minor"/>
    </font>
    <font>
      <b/>
      <sz val="10"/>
      <name val="Calibri"/>
      <family val="2"/>
      <scheme val="minor"/>
    </font>
    <font>
      <sz val="10"/>
      <color rgb="FFFF0000"/>
      <name val="Arial"/>
      <family val="2"/>
    </font>
    <font>
      <sz val="9"/>
      <color rgb="FFFF0000"/>
      <name val="Arial"/>
      <family val="2"/>
    </font>
    <font>
      <b/>
      <sz val="10"/>
      <color rgb="FFFF0000"/>
      <name val="Arial"/>
      <family val="2"/>
    </font>
    <font>
      <strike/>
      <sz val="10"/>
      <color rgb="FFFF0000"/>
      <name val="Calibri"/>
      <family val="2"/>
      <scheme val="minor"/>
    </font>
    <font>
      <sz val="8"/>
      <name val="Calibri"/>
      <family val="2"/>
      <scheme val="minor"/>
    </font>
    <font>
      <b/>
      <sz val="8"/>
      <name val="Calibri"/>
      <family val="2"/>
      <scheme val="minor"/>
    </font>
    <font>
      <b/>
      <sz val="10"/>
      <color rgb="FFFF0000"/>
      <name val="Calibri"/>
      <family val="2"/>
    </font>
    <font>
      <b/>
      <sz val="10"/>
      <color rgb="FFFF0000"/>
      <name val="Calibri"/>
      <family val="2"/>
      <scheme val="minor"/>
    </font>
    <font>
      <sz val="10"/>
      <color rgb="FFFF0000"/>
      <name val="Calibri"/>
      <family val="2"/>
      <scheme val="minor"/>
    </font>
    <font>
      <sz val="9"/>
      <name val="Calibri"/>
      <family val="2"/>
      <scheme val="minor"/>
    </font>
    <font>
      <b/>
      <sz val="9"/>
      <name val="Calibri"/>
      <family val="2"/>
      <scheme val="minor"/>
    </font>
    <font>
      <b/>
      <sz val="11"/>
      <name val="Calibri"/>
      <family val="2"/>
      <scheme val="minor"/>
    </font>
    <font>
      <sz val="11"/>
      <name val="Calibri"/>
      <family val="2"/>
      <scheme val="minor"/>
    </font>
    <font>
      <b/>
      <i/>
      <sz val="11"/>
      <name val="Calibri"/>
      <family val="2"/>
      <scheme val="minor"/>
    </font>
    <font>
      <b/>
      <sz val="9"/>
      <color indexed="17"/>
      <name val="Calibri"/>
      <family val="2"/>
      <scheme val="minor"/>
    </font>
    <font>
      <sz val="9"/>
      <color indexed="17"/>
      <name val="Calibri"/>
      <family val="2"/>
      <scheme val="minor"/>
    </font>
    <font>
      <b/>
      <sz val="16"/>
      <name val="Calibri"/>
      <family val="2"/>
      <scheme val="minor"/>
    </font>
    <font>
      <sz val="9"/>
      <color indexed="81"/>
      <name val="Segoe UI"/>
      <family val="2"/>
    </font>
    <font>
      <b/>
      <sz val="9"/>
      <color indexed="81"/>
      <name val="Segoe UI"/>
      <family val="2"/>
    </font>
  </fonts>
  <fills count="1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indexed="27"/>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1"/>
        <bgColor indexed="64"/>
      </patternFill>
    </fill>
    <fill>
      <patternFill patternType="solid">
        <fgColor theme="3" tint="0.79998168889431442"/>
        <bgColor indexed="22"/>
      </patternFill>
    </fill>
    <fill>
      <patternFill patternType="solid">
        <fgColor theme="3" tint="0.79998168889431442"/>
        <bgColor indexed="52"/>
      </patternFill>
    </fill>
    <fill>
      <patternFill patternType="solid">
        <fgColor theme="2"/>
        <bgColor indexed="64"/>
      </patternFill>
    </fill>
    <fill>
      <patternFill patternType="solid">
        <fgColor rgb="FFD9D9D9"/>
        <bgColor indexed="64"/>
      </patternFill>
    </fill>
  </fills>
  <borders count="63">
    <border>
      <left/>
      <right/>
      <top/>
      <bottom/>
      <diagonal/>
    </border>
    <border>
      <left/>
      <right style="hair">
        <color indexed="64"/>
      </right>
      <top/>
      <bottom/>
      <diagonal/>
    </border>
    <border>
      <left style="hair">
        <color indexed="64"/>
      </left>
      <right style="hair">
        <color indexed="64"/>
      </right>
      <top/>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right/>
      <top style="double">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hair">
        <color indexed="64"/>
      </right>
      <top style="dashed">
        <color indexed="64"/>
      </top>
      <bottom/>
      <diagonal/>
    </border>
    <border>
      <left style="hair">
        <color indexed="64"/>
      </left>
      <right style="hair">
        <color indexed="64"/>
      </right>
      <top style="dashed">
        <color indexed="64"/>
      </top>
      <bottom/>
      <diagonal/>
    </border>
    <border>
      <left style="hair">
        <color indexed="64"/>
      </left>
      <right/>
      <top style="dashed">
        <color indexed="64"/>
      </top>
      <bottom/>
      <diagonal/>
    </border>
    <border>
      <left style="hair">
        <color indexed="64"/>
      </left>
      <right style="dashed">
        <color indexed="64"/>
      </right>
      <top style="dashed">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9"/>
      </left>
      <right/>
      <top/>
      <bottom/>
      <diagonal/>
    </border>
    <border>
      <left style="thin">
        <color indexed="9"/>
      </left>
      <right style="thin">
        <color indexed="9"/>
      </right>
      <top/>
      <bottom/>
      <diagonal/>
    </border>
    <border>
      <left/>
      <right style="thin">
        <color indexed="9"/>
      </right>
      <top style="thin">
        <color indexed="9"/>
      </top>
      <bottom style="thin">
        <color indexed="64"/>
      </bottom>
      <diagonal/>
    </border>
    <border>
      <left style="thin">
        <color indexed="64"/>
      </left>
      <right style="thin">
        <color indexed="64"/>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style="thin">
        <color indexed="64"/>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style="thin">
        <color indexed="64"/>
      </right>
      <top style="thin">
        <color indexed="9"/>
      </top>
      <bottom style="thin">
        <color indexed="64"/>
      </bottom>
      <diagonal/>
    </border>
    <border>
      <left/>
      <right style="thin">
        <color indexed="64"/>
      </right>
      <top style="thin">
        <color indexed="9"/>
      </top>
      <bottom style="thin">
        <color indexed="64"/>
      </bottom>
      <diagonal/>
    </border>
    <border>
      <left/>
      <right style="thin">
        <color indexed="64"/>
      </right>
      <top style="thin">
        <color indexed="9"/>
      </top>
      <bottom/>
      <diagonal/>
    </border>
    <border>
      <left style="thin">
        <color indexed="64"/>
      </left>
      <right style="thin">
        <color indexed="64"/>
      </right>
      <top style="thin">
        <color indexed="9"/>
      </top>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right/>
      <top style="thin">
        <color indexed="9"/>
      </top>
      <bottom style="thin">
        <color indexed="64"/>
      </bottom>
      <diagonal/>
    </border>
    <border>
      <left style="thin">
        <color indexed="9"/>
      </left>
      <right style="thin">
        <color indexed="9"/>
      </right>
      <top/>
      <bottom style="thin">
        <color indexed="64"/>
      </bottom>
      <diagonal/>
    </border>
    <border>
      <left style="thin">
        <color indexed="64"/>
      </left>
      <right style="thin">
        <color indexed="64"/>
      </right>
      <top style="medium">
        <color indexed="64"/>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diagonal/>
    </border>
    <border>
      <left/>
      <right/>
      <top style="thin">
        <color indexed="9"/>
      </top>
      <bottom/>
      <diagonal/>
    </border>
    <border>
      <left style="thin">
        <color indexed="9"/>
      </left>
      <right/>
      <top/>
      <bottom style="thin">
        <color indexed="64"/>
      </bottom>
      <diagonal/>
    </border>
    <border>
      <left style="medium">
        <color indexed="64"/>
      </left>
      <right/>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s>
  <cellStyleXfs count="6">
    <xf numFmtId="0" fontId="0" fillId="0" borderId="0"/>
    <xf numFmtId="166" fontId="1" fillId="0" borderId="0" applyFont="0" applyFill="0" applyBorder="0" applyAlignment="0" applyProtection="0"/>
    <xf numFmtId="0" fontId="7" fillId="0" borderId="0"/>
    <xf numFmtId="0" fontId="22" fillId="0" borderId="0"/>
    <xf numFmtId="9" fontId="1" fillId="0" borderId="0" applyFont="0" applyFill="0" applyBorder="0" applyAlignment="0" applyProtection="0"/>
    <xf numFmtId="164" fontId="1" fillId="0" borderId="0" applyFont="0" applyFill="0" applyBorder="0" applyAlignment="0" applyProtection="0"/>
  </cellStyleXfs>
  <cellXfs count="798">
    <xf numFmtId="0" fontId="0" fillId="0" borderId="0" xfId="0"/>
    <xf numFmtId="38" fontId="5" fillId="0" borderId="0" xfId="0" applyNumberFormat="1" applyFont="1" applyProtection="1">
      <protection locked="0"/>
    </xf>
    <xf numFmtId="38" fontId="4" fillId="0" borderId="0" xfId="0" applyNumberFormat="1" applyFont="1" applyProtection="1">
      <protection locked="0"/>
    </xf>
    <xf numFmtId="38" fontId="5" fillId="0" borderId="0" xfId="0" applyNumberFormat="1" applyFont="1"/>
    <xf numFmtId="9" fontId="5" fillId="2" borderId="0" xfId="4" applyFont="1" applyFill="1" applyBorder="1" applyProtection="1">
      <protection locked="0"/>
    </xf>
    <xf numFmtId="0" fontId="6" fillId="0" borderId="0" xfId="0" applyFont="1"/>
    <xf numFmtId="0" fontId="8" fillId="3" borderId="0" xfId="0" applyFont="1" applyFill="1"/>
    <xf numFmtId="0" fontId="9" fillId="3" borderId="0" xfId="0" applyFont="1" applyFill="1"/>
    <xf numFmtId="0" fontId="10" fillId="0" borderId="0" xfId="0" applyFont="1"/>
    <xf numFmtId="0" fontId="7" fillId="0" borderId="0" xfId="0" applyFont="1"/>
    <xf numFmtId="0" fontId="7" fillId="0" borderId="0" xfId="0" applyFont="1" applyAlignment="1">
      <alignment horizontal="center" vertical="center"/>
    </xf>
    <xf numFmtId="0" fontId="15" fillId="0" borderId="0" xfId="0" applyFont="1"/>
    <xf numFmtId="0" fontId="16" fillId="0" borderId="0" xfId="0" applyFont="1" applyAlignment="1" applyProtection="1">
      <alignment horizontal="left"/>
      <protection locked="0"/>
    </xf>
    <xf numFmtId="38" fontId="17" fillId="0" borderId="0" xfId="0" applyNumberFormat="1" applyFont="1" applyAlignment="1" applyProtection="1">
      <alignment horizontal="centerContinuous"/>
      <protection locked="0"/>
    </xf>
    <xf numFmtId="0" fontId="2" fillId="2" borderId="0" xfId="0" applyFont="1" applyFill="1" applyProtection="1">
      <protection locked="0"/>
    </xf>
    <xf numFmtId="0" fontId="12" fillId="2" borderId="0" xfId="0" applyFont="1" applyFill="1" applyAlignment="1" applyProtection="1">
      <alignment horizontal="right"/>
      <protection locked="0"/>
    </xf>
    <xf numFmtId="0" fontId="11" fillId="2" borderId="0" xfId="0" applyFont="1" applyFill="1" applyAlignment="1" applyProtection="1">
      <alignment horizontal="left" vertical="center"/>
      <protection locked="0"/>
    </xf>
    <xf numFmtId="38" fontId="17" fillId="0" borderId="0" xfId="0" applyNumberFormat="1" applyFont="1" applyProtection="1">
      <protection locked="0"/>
    </xf>
    <xf numFmtId="167" fontId="11" fillId="3" borderId="1" xfId="0" applyNumberFormat="1" applyFont="1" applyFill="1" applyBorder="1" applyAlignment="1" applyProtection="1">
      <alignment horizontal="center"/>
      <protection locked="0"/>
    </xf>
    <xf numFmtId="167" fontId="11" fillId="3" borderId="2" xfId="0" applyNumberFormat="1" applyFont="1" applyFill="1" applyBorder="1" applyAlignment="1" applyProtection="1">
      <alignment horizontal="center"/>
      <protection locked="0"/>
    </xf>
    <xf numFmtId="38" fontId="11" fillId="0" borderId="1" xfId="0" applyNumberFormat="1" applyFont="1" applyBorder="1" applyProtection="1">
      <protection locked="0"/>
    </xf>
    <xf numFmtId="38" fontId="11" fillId="0" borderId="2" xfId="0" applyNumberFormat="1" applyFont="1" applyBorder="1" applyProtection="1">
      <protection locked="0"/>
    </xf>
    <xf numFmtId="38" fontId="11" fillId="2" borderId="2" xfId="0" applyNumberFormat="1" applyFont="1" applyFill="1" applyBorder="1" applyProtection="1">
      <protection locked="0"/>
    </xf>
    <xf numFmtId="38" fontId="11" fillId="0" borderId="3" xfId="0" applyNumberFormat="1" applyFont="1" applyBorder="1" applyProtection="1">
      <protection locked="0"/>
    </xf>
    <xf numFmtId="38" fontId="11" fillId="2" borderId="4" xfId="0" applyNumberFormat="1" applyFont="1" applyFill="1" applyBorder="1" applyProtection="1">
      <protection locked="0"/>
    </xf>
    <xf numFmtId="38" fontId="11" fillId="0" borderId="5" xfId="0" applyNumberFormat="1" applyFont="1" applyBorder="1" applyProtection="1">
      <protection locked="0"/>
    </xf>
    <xf numFmtId="0" fontId="18" fillId="0" borderId="0" xfId="0" applyFont="1"/>
    <xf numFmtId="0" fontId="18" fillId="0" borderId="0" xfId="0" applyFont="1" applyAlignment="1">
      <alignment horizontal="center"/>
    </xf>
    <xf numFmtId="0" fontId="20" fillId="0" borderId="0" xfId="0" applyFont="1"/>
    <xf numFmtId="43" fontId="7" fillId="0" borderId="12" xfId="0" applyNumberFormat="1" applyFont="1" applyBorder="1"/>
    <xf numFmtId="0" fontId="24" fillId="3" borderId="0" xfId="0" applyFont="1" applyFill="1"/>
    <xf numFmtId="0" fontId="25" fillId="0" borderId="0" xfId="0" applyFont="1" applyProtection="1">
      <protection locked="0"/>
    </xf>
    <xf numFmtId="0" fontId="23" fillId="0" borderId="0" xfId="0" applyFont="1"/>
    <xf numFmtId="164" fontId="3" fillId="0" borderId="12" xfId="0" applyNumberFormat="1" applyFont="1" applyBorder="1"/>
    <xf numFmtId="0" fontId="8" fillId="4" borderId="0" xfId="0" applyFont="1" applyFill="1"/>
    <xf numFmtId="0" fontId="0" fillId="4" borderId="0" xfId="0" applyFill="1"/>
    <xf numFmtId="4" fontId="11" fillId="2" borderId="2" xfId="0" applyNumberFormat="1" applyFont="1" applyFill="1" applyBorder="1" applyAlignment="1" applyProtection="1">
      <alignment vertical="center"/>
      <protection locked="0"/>
    </xf>
    <xf numFmtId="0" fontId="8" fillId="0" borderId="0" xfId="0" applyFont="1"/>
    <xf numFmtId="0" fontId="24" fillId="0" borderId="0" xfId="0" applyFont="1"/>
    <xf numFmtId="0" fontId="9" fillId="0" borderId="0" xfId="0" applyFont="1"/>
    <xf numFmtId="3" fontId="26" fillId="0" borderId="0" xfId="0" applyNumberFormat="1" applyFont="1"/>
    <xf numFmtId="0" fontId="10" fillId="4" borderId="13" xfId="0" applyFont="1" applyFill="1" applyBorder="1"/>
    <xf numFmtId="164" fontId="10" fillId="4" borderId="12" xfId="0" applyNumberFormat="1" applyFont="1" applyFill="1" applyBorder="1"/>
    <xf numFmtId="0" fontId="7" fillId="0" borderId="0" xfId="0" applyFont="1" applyAlignment="1">
      <alignment horizontal="justify" vertical="top" wrapText="1"/>
    </xf>
    <xf numFmtId="167" fontId="31" fillId="4" borderId="14" xfId="0" applyNumberFormat="1" applyFont="1" applyFill="1" applyBorder="1" applyAlignment="1" applyProtection="1">
      <alignment horizontal="center"/>
      <protection locked="0"/>
    </xf>
    <xf numFmtId="167" fontId="31" fillId="4" borderId="15" xfId="0" applyNumberFormat="1" applyFont="1" applyFill="1" applyBorder="1" applyAlignment="1" applyProtection="1">
      <alignment horizontal="center"/>
      <protection locked="0"/>
    </xf>
    <xf numFmtId="167" fontId="31" fillId="4" borderId="16" xfId="0" applyNumberFormat="1" applyFont="1" applyFill="1" applyBorder="1" applyAlignment="1" applyProtection="1">
      <alignment horizontal="center"/>
      <protection locked="0"/>
    </xf>
    <xf numFmtId="167" fontId="31" fillId="4" borderId="17" xfId="0" applyNumberFormat="1" applyFont="1" applyFill="1" applyBorder="1" applyAlignment="1" applyProtection="1">
      <alignment horizontal="center"/>
      <protection locked="0"/>
    </xf>
    <xf numFmtId="167" fontId="6" fillId="4" borderId="1" xfId="0" applyNumberFormat="1" applyFont="1" applyFill="1" applyBorder="1" applyAlignment="1">
      <alignment horizontal="center" vertical="center"/>
    </xf>
    <xf numFmtId="167" fontId="6" fillId="4" borderId="2" xfId="0" applyNumberFormat="1" applyFont="1" applyFill="1" applyBorder="1" applyAlignment="1">
      <alignment horizontal="center" vertical="center"/>
    </xf>
    <xf numFmtId="0" fontId="6" fillId="4" borderId="18" xfId="3" applyFont="1" applyFill="1" applyBorder="1" applyAlignment="1">
      <alignment vertical="center"/>
    </xf>
    <xf numFmtId="0" fontId="6" fillId="4" borderId="18" xfId="3" applyFont="1" applyFill="1" applyBorder="1" applyAlignment="1">
      <alignment vertical="center" wrapText="1"/>
    </xf>
    <xf numFmtId="43" fontId="31" fillId="4" borderId="1" xfId="0" applyNumberFormat="1" applyFont="1" applyFill="1" applyBorder="1" applyAlignment="1" applyProtection="1">
      <alignment horizontal="right"/>
      <protection locked="0"/>
    </xf>
    <xf numFmtId="0" fontId="6" fillId="4" borderId="12" xfId="3" applyFont="1" applyFill="1" applyBorder="1" applyAlignment="1">
      <alignment vertical="center"/>
    </xf>
    <xf numFmtId="0" fontId="6" fillId="4" borderId="12" xfId="3" applyFont="1" applyFill="1" applyBorder="1" applyAlignment="1">
      <alignment vertical="center" wrapText="1"/>
    </xf>
    <xf numFmtId="43" fontId="6" fillId="4" borderId="12" xfId="0" applyNumberFormat="1" applyFont="1" applyFill="1" applyBorder="1"/>
    <xf numFmtId="0" fontId="7" fillId="4" borderId="12" xfId="3" applyFont="1" applyFill="1" applyBorder="1" applyAlignment="1">
      <alignment vertical="center"/>
    </xf>
    <xf numFmtId="0" fontId="7" fillId="4" borderId="12" xfId="3" applyFont="1" applyFill="1" applyBorder="1" applyAlignment="1">
      <alignment vertical="center" wrapText="1"/>
    </xf>
    <xf numFmtId="43" fontId="7" fillId="4" borderId="12" xfId="0" applyNumberFormat="1" applyFont="1" applyFill="1" applyBorder="1"/>
    <xf numFmtId="169" fontId="7" fillId="4" borderId="12" xfId="3" applyNumberFormat="1" applyFont="1" applyFill="1" applyBorder="1" applyAlignment="1">
      <alignment vertical="center" wrapText="1"/>
    </xf>
    <xf numFmtId="0" fontId="7" fillId="4" borderId="19" xfId="3" applyFont="1" applyFill="1" applyBorder="1" applyAlignment="1">
      <alignment vertical="center"/>
    </xf>
    <xf numFmtId="164" fontId="7" fillId="4" borderId="12" xfId="0" applyNumberFormat="1" applyFont="1" applyFill="1" applyBorder="1"/>
    <xf numFmtId="164" fontId="6" fillId="4" borderId="12" xfId="0" applyNumberFormat="1" applyFont="1" applyFill="1" applyBorder="1"/>
    <xf numFmtId="0" fontId="7" fillId="4" borderId="0" xfId="0" applyFont="1" applyFill="1"/>
    <xf numFmtId="0" fontId="7" fillId="4" borderId="20" xfId="0" applyFont="1" applyFill="1" applyBorder="1"/>
    <xf numFmtId="0" fontId="6" fillId="4" borderId="21" xfId="0" applyFont="1" applyFill="1" applyBorder="1"/>
    <xf numFmtId="0" fontId="6" fillId="4" borderId="13" xfId="0" applyFont="1" applyFill="1" applyBorder="1"/>
    <xf numFmtId="167" fontId="11" fillId="4" borderId="14" xfId="0" applyNumberFormat="1" applyFont="1" applyFill="1" applyBorder="1" applyAlignment="1" applyProtection="1">
      <alignment horizontal="center"/>
      <protection locked="0"/>
    </xf>
    <xf numFmtId="167" fontId="11" fillId="4" borderId="15" xfId="0" applyNumberFormat="1" applyFont="1" applyFill="1" applyBorder="1" applyAlignment="1" applyProtection="1">
      <alignment horizontal="center"/>
      <protection locked="0"/>
    </xf>
    <xf numFmtId="167" fontId="11" fillId="4" borderId="16" xfId="0" applyNumberFormat="1" applyFont="1" applyFill="1" applyBorder="1" applyAlignment="1" applyProtection="1">
      <alignment horizontal="center"/>
      <protection locked="0"/>
    </xf>
    <xf numFmtId="167" fontId="11" fillId="4" borderId="17" xfId="0" applyNumberFormat="1" applyFont="1" applyFill="1" applyBorder="1" applyAlignment="1" applyProtection="1">
      <alignment horizontal="center"/>
      <protection locked="0"/>
    </xf>
    <xf numFmtId="164" fontId="3" fillId="4" borderId="12" xfId="0" applyNumberFormat="1" applyFont="1" applyFill="1" applyBorder="1"/>
    <xf numFmtId="0" fontId="6" fillId="5" borderId="12" xfId="3" applyFont="1" applyFill="1" applyBorder="1" applyAlignment="1">
      <alignment vertical="center"/>
    </xf>
    <xf numFmtId="0" fontId="6" fillId="5" borderId="12" xfId="3" applyFont="1" applyFill="1" applyBorder="1" applyAlignment="1">
      <alignment vertical="center" wrapText="1"/>
    </xf>
    <xf numFmtId="43" fontId="6" fillId="5" borderId="12" xfId="0" applyNumberFormat="1" applyFont="1" applyFill="1" applyBorder="1"/>
    <xf numFmtId="0" fontId="6" fillId="6" borderId="12" xfId="0" applyFont="1" applyFill="1" applyBorder="1" applyAlignment="1">
      <alignment horizontal="center"/>
    </xf>
    <xf numFmtId="10" fontId="7" fillId="6" borderId="12" xfId="0" applyNumberFormat="1" applyFont="1" applyFill="1" applyBorder="1" applyAlignment="1" applyProtection="1">
      <alignment horizontal="right"/>
      <protection locked="0"/>
    </xf>
    <xf numFmtId="10" fontId="7" fillId="6" borderId="12" xfId="0" applyNumberFormat="1" applyFont="1" applyFill="1" applyBorder="1" applyAlignment="1">
      <alignment horizontal="center"/>
    </xf>
    <xf numFmtId="10" fontId="7" fillId="6" borderId="12" xfId="0" applyNumberFormat="1" applyFont="1" applyFill="1" applyBorder="1"/>
    <xf numFmtId="39" fontId="7" fillId="6" borderId="12" xfId="0" applyNumberFormat="1" applyFont="1" applyFill="1" applyBorder="1"/>
    <xf numFmtId="10" fontId="7" fillId="7" borderId="12" xfId="0" applyNumberFormat="1" applyFont="1" applyFill="1" applyBorder="1" applyAlignment="1">
      <alignment horizontal="center"/>
    </xf>
    <xf numFmtId="0" fontId="33" fillId="0" borderId="0" xfId="0" applyFont="1"/>
    <xf numFmtId="0" fontId="33" fillId="3" borderId="0" xfId="0" applyFont="1" applyFill="1"/>
    <xf numFmtId="0" fontId="8" fillId="0" borderId="0" xfId="0" quotePrefix="1" applyFont="1"/>
    <xf numFmtId="0" fontId="6" fillId="4" borderId="19" xfId="3" applyFont="1" applyFill="1" applyBorder="1" applyAlignment="1">
      <alignment vertical="center"/>
    </xf>
    <xf numFmtId="10" fontId="7" fillId="0" borderId="0" xfId="0" applyNumberFormat="1" applyFont="1"/>
    <xf numFmtId="44" fontId="26" fillId="0" borderId="0" xfId="0" applyNumberFormat="1" applyFont="1"/>
    <xf numFmtId="43" fontId="7" fillId="0" borderId="0" xfId="0" applyNumberFormat="1" applyFont="1"/>
    <xf numFmtId="0" fontId="46" fillId="0" borderId="0" xfId="0" applyFont="1"/>
    <xf numFmtId="49" fontId="46" fillId="0" borderId="0" xfId="0" applyNumberFormat="1" applyFont="1"/>
    <xf numFmtId="0" fontId="46" fillId="0" borderId="0" xfId="0" applyFont="1" applyAlignment="1">
      <alignment vertical="center"/>
    </xf>
    <xf numFmtId="0" fontId="47" fillId="8" borderId="13" xfId="0" applyFont="1" applyFill="1" applyBorder="1" applyAlignment="1">
      <alignment vertical="center"/>
    </xf>
    <xf numFmtId="0" fontId="46" fillId="0" borderId="0" xfId="0" applyFont="1" applyAlignment="1">
      <alignment horizontal="left" indent="1"/>
    </xf>
    <xf numFmtId="0" fontId="46" fillId="0" borderId="0" xfId="0" applyFont="1" applyAlignment="1">
      <alignment wrapText="1"/>
    </xf>
    <xf numFmtId="0" fontId="46" fillId="0" borderId="23" xfId="0" applyFont="1" applyBorder="1" applyAlignment="1">
      <alignment wrapText="1"/>
    </xf>
    <xf numFmtId="0" fontId="46" fillId="0" borderId="0" xfId="0" applyFont="1" applyAlignment="1">
      <alignment horizontal="left" indent="2"/>
    </xf>
    <xf numFmtId="0" fontId="46" fillId="0" borderId="0" xfId="0" applyFont="1" applyAlignment="1">
      <alignment horizontal="left" indent="3"/>
    </xf>
    <xf numFmtId="0" fontId="46" fillId="0" borderId="0" xfId="2" applyFont="1" applyAlignment="1">
      <alignment horizontal="left" wrapText="1" indent="2"/>
    </xf>
    <xf numFmtId="0" fontId="47" fillId="8" borderId="24" xfId="0" applyFont="1" applyFill="1" applyBorder="1"/>
    <xf numFmtId="49" fontId="46" fillId="0" borderId="0" xfId="0" applyNumberFormat="1" applyFont="1" applyAlignment="1">
      <alignment horizontal="left" vertical="center" indent="2"/>
    </xf>
    <xf numFmtId="49" fontId="46" fillId="0" borderId="0" xfId="0" applyNumberFormat="1" applyFont="1" applyAlignment="1">
      <alignment horizontal="left" vertical="center" indent="1"/>
    </xf>
    <xf numFmtId="49" fontId="47" fillId="8" borderId="24" xfId="0" applyNumberFormat="1" applyFont="1" applyFill="1" applyBorder="1" applyAlignment="1">
      <alignment vertical="center"/>
    </xf>
    <xf numFmtId="49" fontId="46" fillId="0" borderId="24" xfId="0" applyNumberFormat="1" applyFont="1" applyBorder="1" applyAlignment="1">
      <alignment vertical="center"/>
    </xf>
    <xf numFmtId="0" fontId="46" fillId="0" borderId="21" xfId="0" applyFont="1" applyBorder="1" applyAlignment="1">
      <alignment vertical="center" wrapText="1"/>
    </xf>
    <xf numFmtId="49" fontId="47" fillId="8" borderId="19" xfId="0" applyNumberFormat="1" applyFont="1" applyFill="1" applyBorder="1" applyAlignment="1">
      <alignment horizontal="justify" vertical="center"/>
    </xf>
    <xf numFmtId="49" fontId="47" fillId="0" borderId="0" xfId="0" applyNumberFormat="1" applyFont="1" applyAlignment="1">
      <alignment horizontal="justify" vertical="center"/>
    </xf>
    <xf numFmtId="37" fontId="46" fillId="0" borderId="0" xfId="0" applyNumberFormat="1" applyFont="1" applyAlignment="1">
      <alignment horizontal="center"/>
    </xf>
    <xf numFmtId="0" fontId="46" fillId="0" borderId="0" xfId="0" applyFont="1" applyAlignment="1">
      <alignment horizontal="center" vertical="center" wrapText="1"/>
    </xf>
    <xf numFmtId="0" fontId="47" fillId="8" borderId="19" xfId="0" applyFont="1" applyFill="1" applyBorder="1" applyAlignment="1">
      <alignment vertical="center" wrapText="1"/>
    </xf>
    <xf numFmtId="0" fontId="47" fillId="0" borderId="0" xfId="0" applyFont="1" applyAlignment="1">
      <alignment horizontal="left" wrapText="1"/>
    </xf>
    <xf numFmtId="0" fontId="46" fillId="0" borderId="0" xfId="0" applyFont="1" applyAlignment="1">
      <alignment horizontal="left"/>
    </xf>
    <xf numFmtId="0" fontId="46" fillId="0" borderId="13" xfId="0" applyFont="1" applyBorder="1" applyAlignment="1">
      <alignment vertical="top" wrapText="1"/>
    </xf>
    <xf numFmtId="0" fontId="46" fillId="0" borderId="0" xfId="0" applyFont="1" applyAlignment="1">
      <alignment vertical="top" wrapText="1"/>
    </xf>
    <xf numFmtId="0" fontId="46" fillId="0" borderId="0" xfId="0" applyFont="1" applyAlignment="1">
      <alignment vertical="center" wrapText="1"/>
    </xf>
    <xf numFmtId="37" fontId="46" fillId="0" borderId="0" xfId="0" applyNumberFormat="1" applyFont="1" applyAlignment="1">
      <alignment vertical="center"/>
    </xf>
    <xf numFmtId="37" fontId="46" fillId="0" borderId="0" xfId="0" applyNumberFormat="1" applyFont="1"/>
    <xf numFmtId="0" fontId="47" fillId="8" borderId="25" xfId="0" applyFont="1" applyFill="1" applyBorder="1" applyAlignment="1">
      <alignment horizontal="center" vertical="center"/>
    </xf>
    <xf numFmtId="0" fontId="46" fillId="0" borderId="0" xfId="0" applyFont="1" applyAlignment="1">
      <alignment horizontal="left" vertical="top" wrapText="1"/>
    </xf>
    <xf numFmtId="0" fontId="46" fillId="0" borderId="0" xfId="0" applyFont="1" applyAlignment="1">
      <alignment horizontal="right" vertical="top" wrapText="1"/>
    </xf>
    <xf numFmtId="0" fontId="46" fillId="0" borderId="25" xfId="0" applyFont="1" applyBorder="1" applyAlignment="1">
      <alignment horizontal="right" vertical="top" wrapText="1"/>
    </xf>
    <xf numFmtId="0" fontId="46" fillId="0" borderId="23" xfId="0" applyFont="1" applyBorder="1" applyAlignment="1">
      <alignment horizontal="right" vertical="top" wrapText="1"/>
    </xf>
    <xf numFmtId="0" fontId="46" fillId="0" borderId="18" xfId="0" applyFont="1" applyBorder="1" applyAlignment="1">
      <alignment horizontal="right" vertical="top" wrapText="1"/>
    </xf>
    <xf numFmtId="0" fontId="46" fillId="0" borderId="21" xfId="0" applyFont="1" applyBorder="1"/>
    <xf numFmtId="0" fontId="47" fillId="8" borderId="26" xfId="0" applyFont="1" applyFill="1" applyBorder="1" applyAlignment="1">
      <alignment vertical="center" wrapText="1"/>
    </xf>
    <xf numFmtId="0" fontId="46" fillId="0" borderId="26" xfId="0" applyFont="1" applyBorder="1" applyAlignment="1">
      <alignment wrapText="1"/>
    </xf>
    <xf numFmtId="0" fontId="46" fillId="0" borderId="21" xfId="0" applyFont="1" applyBorder="1" applyAlignment="1">
      <alignment wrapText="1"/>
    </xf>
    <xf numFmtId="0" fontId="46" fillId="0" borderId="0" xfId="0" applyFont="1" applyAlignment="1">
      <alignment vertical="top"/>
    </xf>
    <xf numFmtId="37" fontId="46" fillId="0" borderId="0" xfId="0" applyNumberFormat="1" applyFont="1" applyAlignment="1">
      <alignment vertical="center" wrapText="1"/>
    </xf>
    <xf numFmtId="0" fontId="46" fillId="8" borderId="27" xfId="0" applyFont="1" applyFill="1" applyBorder="1" applyAlignment="1">
      <alignment horizontal="center" vertical="center"/>
    </xf>
    <xf numFmtId="0" fontId="47" fillId="0" borderId="28" xfId="0" applyFont="1" applyBorder="1" applyAlignment="1">
      <alignment horizontal="center" vertical="center"/>
    </xf>
    <xf numFmtId="0" fontId="47" fillId="0" borderId="0" xfId="0" applyFont="1" applyAlignment="1">
      <alignment horizontal="center" vertical="center"/>
    </xf>
    <xf numFmtId="0" fontId="46" fillId="0" borderId="22" xfId="0" applyFont="1" applyBorder="1" applyAlignment="1">
      <alignment horizontal="right" vertical="top" wrapText="1"/>
    </xf>
    <xf numFmtId="49" fontId="47" fillId="8" borderId="19" xfId="2" applyNumberFormat="1" applyFont="1" applyFill="1" applyBorder="1" applyAlignment="1">
      <alignment horizontal="justify" vertical="center"/>
    </xf>
    <xf numFmtId="165" fontId="47" fillId="0" borderId="0" xfId="2" applyNumberFormat="1" applyFont="1" applyAlignment="1">
      <alignment vertical="center"/>
    </xf>
    <xf numFmtId="0" fontId="46" fillId="0" borderId="0" xfId="2" applyFont="1" applyAlignment="1">
      <alignment wrapText="1"/>
    </xf>
    <xf numFmtId="0" fontId="46" fillId="0" borderId="0" xfId="2" applyFont="1"/>
    <xf numFmtId="43" fontId="28" fillId="0" borderId="12" xfId="0" applyNumberFormat="1" applyFont="1" applyBorder="1" applyAlignment="1">
      <alignment horizontal="left" vertical="center" indent="1"/>
    </xf>
    <xf numFmtId="0" fontId="3" fillId="4" borderId="21" xfId="0" applyFont="1" applyFill="1" applyBorder="1"/>
    <xf numFmtId="0" fontId="7" fillId="4" borderId="0" xfId="0" applyFont="1" applyFill="1" applyAlignment="1">
      <alignment horizontal="left"/>
    </xf>
    <xf numFmtId="38" fontId="17" fillId="0" borderId="0" xfId="0" applyNumberFormat="1" applyFont="1" applyAlignment="1" applyProtection="1">
      <alignment horizontal="left"/>
      <protection locked="0"/>
    </xf>
    <xf numFmtId="38" fontId="5" fillId="0" borderId="0" xfId="0" applyNumberFormat="1" applyFont="1" applyAlignment="1" applyProtection="1">
      <alignment horizontal="left"/>
      <protection locked="0"/>
    </xf>
    <xf numFmtId="38" fontId="5" fillId="0" borderId="0" xfId="0" applyNumberFormat="1" applyFont="1" applyAlignment="1">
      <alignment horizontal="left"/>
    </xf>
    <xf numFmtId="0" fontId="39" fillId="0" borderId="0" xfId="0" applyFont="1" applyAlignment="1" applyProtection="1">
      <alignment horizontal="left"/>
      <protection locked="0"/>
    </xf>
    <xf numFmtId="0" fontId="3" fillId="2" borderId="0" xfId="0" applyFont="1" applyFill="1" applyAlignment="1" applyProtection="1">
      <alignment horizontal="left"/>
      <protection locked="0"/>
    </xf>
    <xf numFmtId="0" fontId="7" fillId="4" borderId="21" xfId="0" applyFont="1" applyFill="1" applyBorder="1" applyAlignment="1">
      <alignment horizontal="left"/>
    </xf>
    <xf numFmtId="0" fontId="7" fillId="0" borderId="0" xfId="0" applyFont="1" applyAlignment="1">
      <alignment horizontal="left"/>
    </xf>
    <xf numFmtId="0" fontId="17" fillId="2" borderId="0" xfId="0" applyFont="1" applyFill="1" applyAlignment="1" applyProtection="1">
      <alignment horizontal="left" vertical="center"/>
      <protection locked="0"/>
    </xf>
    <xf numFmtId="166" fontId="6" fillId="4" borderId="20" xfId="1" applyFont="1" applyFill="1" applyBorder="1" applyAlignment="1">
      <alignment horizontal="center" vertical="center"/>
    </xf>
    <xf numFmtId="167" fontId="6" fillId="4" borderId="30" xfId="0" applyNumberFormat="1" applyFont="1" applyFill="1" applyBorder="1" applyAlignment="1">
      <alignment horizontal="center" vertical="center"/>
    </xf>
    <xf numFmtId="0" fontId="6" fillId="9" borderId="12" xfId="3" applyFont="1" applyFill="1" applyBorder="1" applyAlignment="1">
      <alignment vertical="center"/>
    </xf>
    <xf numFmtId="0" fontId="6" fillId="9" borderId="12" xfId="3" applyFont="1" applyFill="1" applyBorder="1" applyAlignment="1">
      <alignment vertical="center" wrapText="1"/>
    </xf>
    <xf numFmtId="43" fontId="6" fillId="9" borderId="12" xfId="0" applyNumberFormat="1" applyFont="1" applyFill="1" applyBorder="1"/>
    <xf numFmtId="0" fontId="6" fillId="9" borderId="0" xfId="0" applyFont="1" applyFill="1"/>
    <xf numFmtId="0" fontId="3" fillId="4" borderId="12" xfId="0" applyFont="1" applyFill="1" applyBorder="1"/>
    <xf numFmtId="10" fontId="48" fillId="7" borderId="12" xfId="0" applyNumberFormat="1" applyFont="1" applyFill="1" applyBorder="1" applyAlignment="1" applyProtection="1">
      <alignment horizontal="center"/>
      <protection locked="0"/>
    </xf>
    <xf numFmtId="10" fontId="48" fillId="7" borderId="12" xfId="0" applyNumberFormat="1" applyFont="1" applyFill="1" applyBorder="1" applyAlignment="1">
      <alignment horizontal="center"/>
    </xf>
    <xf numFmtId="0" fontId="49" fillId="0" borderId="0" xfId="0" applyFont="1"/>
    <xf numFmtId="169" fontId="50" fillId="4" borderId="18" xfId="3" applyNumberFormat="1" applyFont="1" applyFill="1" applyBorder="1" applyAlignment="1">
      <alignment horizontal="left" vertical="center"/>
    </xf>
    <xf numFmtId="169" fontId="50" fillId="4" borderId="12" xfId="3" applyNumberFormat="1" applyFont="1" applyFill="1" applyBorder="1" applyAlignment="1">
      <alignment horizontal="left" vertical="center"/>
    </xf>
    <xf numFmtId="169" fontId="50" fillId="9" borderId="12" xfId="3" applyNumberFormat="1" applyFont="1" applyFill="1" applyBorder="1" applyAlignment="1">
      <alignment horizontal="left" vertical="center"/>
    </xf>
    <xf numFmtId="169" fontId="50" fillId="4" borderId="12" xfId="3" applyNumberFormat="1" applyFont="1" applyFill="1" applyBorder="1" applyAlignment="1">
      <alignment horizontal="left" vertical="center" wrapText="1"/>
    </xf>
    <xf numFmtId="169" fontId="50" fillId="5" borderId="12" xfId="3" applyNumberFormat="1" applyFont="1" applyFill="1" applyBorder="1" applyAlignment="1">
      <alignment horizontal="left" vertical="center"/>
    </xf>
    <xf numFmtId="43" fontId="50" fillId="4" borderId="12" xfId="0" applyNumberFormat="1" applyFont="1" applyFill="1" applyBorder="1"/>
    <xf numFmtId="0" fontId="50" fillId="0" borderId="0" xfId="0" applyFont="1"/>
    <xf numFmtId="165" fontId="46" fillId="0" borderId="31" xfId="2" applyNumberFormat="1" applyFont="1" applyBorder="1" applyAlignment="1">
      <alignment wrapText="1"/>
    </xf>
    <xf numFmtId="4" fontId="6" fillId="4" borderId="12" xfId="0" applyNumberFormat="1" applyFont="1" applyFill="1" applyBorder="1"/>
    <xf numFmtId="4" fontId="7" fillId="0" borderId="12" xfId="0" applyNumberFormat="1" applyFont="1" applyBorder="1"/>
    <xf numFmtId="4" fontId="7" fillId="4" borderId="12" xfId="0" applyNumberFormat="1" applyFont="1" applyFill="1" applyBorder="1"/>
    <xf numFmtId="0" fontId="46" fillId="0" borderId="32" xfId="0" applyFont="1" applyBorder="1" applyAlignment="1">
      <alignment wrapText="1"/>
    </xf>
    <xf numFmtId="0" fontId="51" fillId="0" borderId="0" xfId="0" applyFont="1"/>
    <xf numFmtId="0" fontId="47" fillId="0" borderId="0" xfId="0" applyFont="1"/>
    <xf numFmtId="0" fontId="52" fillId="0" borderId="0" xfId="2" applyFont="1"/>
    <xf numFmtId="0" fontId="46" fillId="0" borderId="0" xfId="0" applyFont="1" applyAlignment="1">
      <alignment horizontal="center" vertical="top" wrapText="1"/>
    </xf>
    <xf numFmtId="4" fontId="46" fillId="0" borderId="12" xfId="0" applyNumberFormat="1" applyFont="1" applyBorder="1" applyAlignment="1">
      <alignment vertical="top"/>
    </xf>
    <xf numFmtId="4" fontId="46" fillId="0" borderId="20" xfId="0" applyNumberFormat="1" applyFont="1" applyBorder="1" applyAlignment="1">
      <alignment wrapText="1"/>
    </xf>
    <xf numFmtId="0" fontId="29" fillId="7" borderId="0" xfId="0" applyFont="1" applyFill="1" applyAlignment="1">
      <alignment horizontal="center" wrapText="1"/>
    </xf>
    <xf numFmtId="1" fontId="27" fillId="7" borderId="13" xfId="5" applyNumberFormat="1" applyFont="1" applyFill="1" applyBorder="1" applyAlignment="1" applyProtection="1">
      <alignment horizontal="center" vertical="center" wrapText="1"/>
    </xf>
    <xf numFmtId="1" fontId="27" fillId="7" borderId="12" xfId="5" applyNumberFormat="1" applyFont="1" applyFill="1" applyBorder="1" applyAlignment="1" applyProtection="1">
      <alignment horizontal="center" vertical="center" wrapText="1"/>
    </xf>
    <xf numFmtId="0" fontId="28" fillId="7" borderId="0" xfId="5" applyNumberFormat="1" applyFont="1" applyFill="1" applyBorder="1" applyAlignment="1" applyProtection="1">
      <alignment horizontal="left" vertical="center"/>
    </xf>
    <xf numFmtId="0" fontId="28" fillId="7" borderId="0" xfId="5" applyNumberFormat="1" applyFont="1" applyFill="1" applyAlignment="1" applyProtection="1">
      <alignment horizontal="left" vertical="center"/>
    </xf>
    <xf numFmtId="49" fontId="7" fillId="7" borderId="0" xfId="0" applyNumberFormat="1" applyFont="1" applyFill="1" applyAlignment="1">
      <alignment vertical="center"/>
    </xf>
    <xf numFmtId="171" fontId="7" fillId="7" borderId="0" xfId="5" applyNumberFormat="1" applyFont="1" applyFill="1" applyAlignment="1" applyProtection="1">
      <alignment vertical="center"/>
    </xf>
    <xf numFmtId="0" fontId="28" fillId="7" borderId="25" xfId="5" applyNumberFormat="1" applyFont="1" applyFill="1" applyBorder="1" applyAlignment="1" applyProtection="1">
      <alignment horizontal="left" vertical="center"/>
    </xf>
    <xf numFmtId="0" fontId="28" fillId="7" borderId="23" xfId="5" applyNumberFormat="1" applyFont="1" applyFill="1" applyBorder="1" applyAlignment="1" applyProtection="1">
      <alignment horizontal="left" vertical="center"/>
    </xf>
    <xf numFmtId="0" fontId="28" fillId="7" borderId="18" xfId="5" applyNumberFormat="1" applyFont="1" applyFill="1" applyBorder="1" applyAlignment="1" applyProtection="1">
      <alignment horizontal="left" vertical="center"/>
    </xf>
    <xf numFmtId="43" fontId="28" fillId="10" borderId="12" xfId="5" applyNumberFormat="1" applyFont="1" applyFill="1" applyBorder="1" applyAlignment="1" applyProtection="1">
      <alignment horizontal="left" vertical="center" indent="2"/>
    </xf>
    <xf numFmtId="49" fontId="27" fillId="0" borderId="24" xfId="0" applyNumberFormat="1" applyFont="1" applyBorder="1" applyAlignment="1">
      <alignment vertical="center" wrapText="1"/>
    </xf>
    <xf numFmtId="0" fontId="28" fillId="0" borderId="0" xfId="0" applyFont="1" applyAlignment="1">
      <alignment horizontal="left" vertical="center" indent="1"/>
    </xf>
    <xf numFmtId="49" fontId="27" fillId="0" borderId="24" xfId="0" applyNumberFormat="1" applyFont="1" applyBorder="1" applyAlignment="1">
      <alignment vertical="center"/>
    </xf>
    <xf numFmtId="49" fontId="28" fillId="0" borderId="24" xfId="0" applyNumberFormat="1" applyFont="1" applyBorder="1" applyAlignment="1">
      <alignment horizontal="left" vertical="center" wrapText="1"/>
    </xf>
    <xf numFmtId="43" fontId="28" fillId="10" borderId="12" xfId="0" applyNumberFormat="1" applyFont="1" applyFill="1" applyBorder="1" applyAlignment="1">
      <alignment horizontal="left" vertical="center" indent="1"/>
    </xf>
    <xf numFmtId="0" fontId="47" fillId="0" borderId="34" xfId="2" applyFont="1" applyBorder="1" applyAlignment="1">
      <alignment horizontal="center" vertical="top" wrapText="1"/>
    </xf>
    <xf numFmtId="0" fontId="47" fillId="0" borderId="35" xfId="2" applyFont="1" applyBorder="1" applyAlignment="1">
      <alignment horizontal="center" vertical="top" wrapText="1"/>
    </xf>
    <xf numFmtId="0" fontId="53" fillId="0" borderId="35" xfId="2" applyFont="1" applyBorder="1" applyAlignment="1">
      <alignment horizontal="center" vertical="top" wrapText="1"/>
    </xf>
    <xf numFmtId="0" fontId="53" fillId="0" borderId="34" xfId="2" applyFont="1" applyBorder="1" applyAlignment="1">
      <alignment horizontal="center" wrapText="1"/>
    </xf>
    <xf numFmtId="0" fontId="47" fillId="0" borderId="34" xfId="2" applyFont="1" applyBorder="1" applyAlignment="1">
      <alignment horizontal="center" wrapText="1"/>
    </xf>
    <xf numFmtId="0" fontId="47" fillId="0" borderId="36" xfId="2" applyFont="1" applyBorder="1" applyAlignment="1">
      <alignment horizontal="center" vertical="top" wrapText="1"/>
    </xf>
    <xf numFmtId="0" fontId="47" fillId="0" borderId="37" xfId="2" applyFont="1" applyBorder="1" applyAlignment="1">
      <alignment horizontal="center" vertical="top" wrapText="1"/>
    </xf>
    <xf numFmtId="0" fontId="53" fillId="0" borderId="37" xfId="2" applyFont="1" applyBorder="1" applyAlignment="1">
      <alignment horizontal="center" vertical="top" wrapText="1"/>
    </xf>
    <xf numFmtId="0" fontId="53" fillId="0" borderId="36" xfId="2" applyFont="1" applyBorder="1" applyAlignment="1">
      <alignment horizontal="center" vertical="top" wrapText="1"/>
    </xf>
    <xf numFmtId="0" fontId="47" fillId="0" borderId="38" xfId="2" applyFont="1" applyBorder="1" applyAlignment="1">
      <alignment horizontal="center" vertical="top" wrapText="1"/>
    </xf>
    <xf numFmtId="0" fontId="47" fillId="0" borderId="39" xfId="2" applyFont="1" applyBorder="1" applyAlignment="1">
      <alignment vertical="top" wrapText="1"/>
    </xf>
    <xf numFmtId="0" fontId="53" fillId="0" borderId="39" xfId="2" applyFont="1" applyBorder="1" applyAlignment="1">
      <alignment horizontal="center" vertical="top" wrapText="1"/>
    </xf>
    <xf numFmtId="0" fontId="47" fillId="0" borderId="40" xfId="2" applyFont="1" applyBorder="1" applyAlignment="1">
      <alignment horizontal="center" vertical="top" wrapText="1"/>
    </xf>
    <xf numFmtId="0" fontId="47" fillId="0" borderId="39" xfId="2" applyFont="1" applyBorder="1" applyAlignment="1">
      <alignment horizontal="center" vertical="top" wrapText="1"/>
    </xf>
    <xf numFmtId="0" fontId="53" fillId="0" borderId="38" xfId="2" applyFont="1" applyBorder="1" applyAlignment="1">
      <alignment horizontal="center" wrapText="1"/>
    </xf>
    <xf numFmtId="0" fontId="47" fillId="0" borderId="41" xfId="2" applyFont="1" applyBorder="1" applyAlignment="1">
      <alignment horizontal="center" wrapText="1"/>
    </xf>
    <xf numFmtId="0" fontId="47" fillId="0" borderId="20" xfId="2" applyFont="1" applyBorder="1" applyAlignment="1">
      <alignment wrapText="1"/>
    </xf>
    <xf numFmtId="4" fontId="47" fillId="0" borderId="20" xfId="2" applyNumberFormat="1" applyFont="1" applyBorder="1" applyAlignment="1">
      <alignment wrapText="1"/>
    </xf>
    <xf numFmtId="10" fontId="46" fillId="0" borderId="25" xfId="2" applyNumberFormat="1" applyFont="1" applyBorder="1" applyAlignment="1">
      <alignment wrapText="1"/>
    </xf>
    <xf numFmtId="4" fontId="47" fillId="0" borderId="23" xfId="2" applyNumberFormat="1" applyFont="1" applyBorder="1" applyAlignment="1">
      <alignment wrapText="1"/>
    </xf>
    <xf numFmtId="10" fontId="47" fillId="0" borderId="23" xfId="2" applyNumberFormat="1" applyFont="1" applyBorder="1" applyAlignment="1">
      <alignment wrapText="1"/>
    </xf>
    <xf numFmtId="10" fontId="46" fillId="0" borderId="23" xfId="2" applyNumberFormat="1" applyFont="1" applyBorder="1" applyAlignment="1">
      <alignment wrapText="1"/>
    </xf>
    <xf numFmtId="0" fontId="46" fillId="0" borderId="20" xfId="2" applyFont="1" applyBorder="1" applyAlignment="1">
      <alignment horizontal="left" wrapText="1"/>
    </xf>
    <xf numFmtId="4" fontId="46" fillId="0" borderId="20" xfId="2" applyNumberFormat="1" applyFont="1" applyBorder="1" applyAlignment="1">
      <alignment wrapText="1"/>
    </xf>
    <xf numFmtId="4" fontId="46" fillId="0" borderId="23" xfId="2" applyNumberFormat="1" applyFont="1" applyBorder="1" applyAlignment="1">
      <alignment wrapText="1"/>
    </xf>
    <xf numFmtId="0" fontId="46" fillId="0" borderId="20" xfId="2" applyFont="1" applyBorder="1" applyAlignment="1">
      <alignment wrapText="1"/>
    </xf>
    <xf numFmtId="0" fontId="47" fillId="0" borderId="13" xfId="2" applyFont="1" applyBorder="1" applyAlignment="1">
      <alignment wrapText="1"/>
    </xf>
    <xf numFmtId="4" fontId="47" fillId="0" borderId="13" xfId="2" applyNumberFormat="1" applyFont="1" applyBorder="1" applyAlignment="1">
      <alignment wrapText="1"/>
    </xf>
    <xf numFmtId="4" fontId="47" fillId="0" borderId="18" xfId="2" applyNumberFormat="1" applyFont="1" applyBorder="1" applyAlignment="1">
      <alignment wrapText="1"/>
    </xf>
    <xf numFmtId="10" fontId="47" fillId="0" borderId="18" xfId="2" applyNumberFormat="1" applyFont="1" applyBorder="1" applyAlignment="1">
      <alignment wrapText="1"/>
    </xf>
    <xf numFmtId="0" fontId="46" fillId="0" borderId="0" xfId="2" applyFont="1" applyAlignment="1">
      <alignment horizontal="center" vertical="center"/>
    </xf>
    <xf numFmtId="0" fontId="46" fillId="0" borderId="18" xfId="0" applyFont="1" applyBorder="1" applyAlignment="1">
      <alignment wrapText="1"/>
    </xf>
    <xf numFmtId="165" fontId="46" fillId="0" borderId="0" xfId="0" applyNumberFormat="1" applyFont="1" applyAlignment="1">
      <alignment horizontal="right"/>
    </xf>
    <xf numFmtId="0" fontId="47" fillId="0" borderId="26" xfId="0" applyFont="1" applyBorder="1"/>
    <xf numFmtId="0" fontId="47" fillId="0" borderId="22" xfId="0" applyFont="1" applyBorder="1" applyAlignment="1">
      <alignment horizontal="center" vertical="center"/>
    </xf>
    <xf numFmtId="0" fontId="47" fillId="0" borderId="25" xfId="0" applyFont="1" applyBorder="1" applyAlignment="1">
      <alignment horizontal="center" vertical="center"/>
    </xf>
    <xf numFmtId="0" fontId="40" fillId="0" borderId="42" xfId="0" applyFont="1" applyBorder="1" applyAlignment="1">
      <alignment wrapText="1"/>
    </xf>
    <xf numFmtId="165" fontId="40" fillId="0" borderId="42" xfId="0" applyNumberFormat="1" applyFont="1" applyBorder="1" applyAlignment="1">
      <alignment horizontal="right" wrapText="1"/>
    </xf>
    <xf numFmtId="0" fontId="40" fillId="0" borderId="13" xfId="0" applyFont="1" applyBorder="1" applyAlignment="1">
      <alignment horizontal="center" vertical="center" wrapText="1"/>
    </xf>
    <xf numFmtId="0" fontId="40" fillId="0" borderId="21" xfId="0" applyFont="1" applyBorder="1" applyAlignment="1">
      <alignment horizontal="center" vertical="center" wrapText="1"/>
    </xf>
    <xf numFmtId="0" fontId="40" fillId="0" borderId="20" xfId="0" applyFont="1" applyBorder="1" applyAlignment="1">
      <alignment wrapText="1"/>
    </xf>
    <xf numFmtId="164" fontId="40" fillId="0" borderId="20" xfId="0" applyNumberFormat="1" applyFont="1" applyBorder="1" applyAlignment="1">
      <alignment wrapText="1"/>
    </xf>
    <xf numFmtId="164" fontId="40" fillId="0" borderId="20" xfId="0" applyNumberFormat="1" applyFont="1" applyBorder="1" applyAlignment="1" applyProtection="1">
      <alignment wrapText="1"/>
      <protection locked="0"/>
    </xf>
    <xf numFmtId="0" fontId="40" fillId="0" borderId="13" xfId="0" applyFont="1" applyBorder="1" applyAlignment="1">
      <alignment wrapText="1"/>
    </xf>
    <xf numFmtId="164" fontId="40" fillId="0" borderId="13" xfId="0" applyNumberFormat="1" applyFont="1" applyBorder="1" applyAlignment="1" applyProtection="1">
      <alignment wrapText="1"/>
      <protection locked="0"/>
    </xf>
    <xf numFmtId="164" fontId="54" fillId="0" borderId="13" xfId="0" applyNumberFormat="1" applyFont="1" applyBorder="1" applyAlignment="1" applyProtection="1">
      <alignment wrapText="1"/>
      <protection locked="0"/>
    </xf>
    <xf numFmtId="0" fontId="41" fillId="0" borderId="13" xfId="0" applyFont="1" applyBorder="1" applyAlignment="1">
      <alignment wrapText="1"/>
    </xf>
    <xf numFmtId="0" fontId="6" fillId="0" borderId="42" xfId="0" applyFont="1" applyBorder="1" applyAlignment="1">
      <alignment vertical="top" wrapText="1"/>
    </xf>
    <xf numFmtId="0" fontId="7" fillId="0" borderId="42" xfId="0" applyFont="1" applyBorder="1" applyAlignment="1">
      <alignment vertical="top" wrapText="1"/>
    </xf>
    <xf numFmtId="165" fontId="7" fillId="0" borderId="42" xfId="0" applyNumberFormat="1" applyFont="1" applyBorder="1" applyAlignment="1">
      <alignment horizontal="right" vertical="top" wrapText="1"/>
    </xf>
    <xf numFmtId="0" fontId="6" fillId="7" borderId="20"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7" fillId="7" borderId="0" xfId="0" applyFont="1" applyFill="1" applyAlignment="1">
      <alignment horizontal="left" vertical="center" wrapText="1"/>
    </xf>
    <xf numFmtId="43" fontId="7" fillId="11" borderId="25" xfId="0" applyNumberFormat="1" applyFont="1" applyFill="1" applyBorder="1" applyAlignment="1">
      <alignment horizontal="center" vertical="center" wrapText="1"/>
    </xf>
    <xf numFmtId="43" fontId="7" fillId="11" borderId="20" xfId="0" applyNumberFormat="1" applyFont="1" applyFill="1" applyBorder="1" applyAlignment="1">
      <alignment horizontal="center" vertical="center" wrapText="1"/>
    </xf>
    <xf numFmtId="43" fontId="7" fillId="7" borderId="23" xfId="0" applyNumberFormat="1" applyFont="1" applyFill="1" applyBorder="1" applyAlignment="1">
      <alignment horizontal="right" vertical="center" wrapText="1"/>
    </xf>
    <xf numFmtId="0" fontId="7" fillId="7" borderId="0" xfId="0" applyFont="1" applyFill="1" applyAlignment="1">
      <alignment vertical="top" wrapText="1"/>
    </xf>
    <xf numFmtId="43" fontId="7" fillId="7" borderId="23" xfId="0" applyNumberFormat="1" applyFont="1" applyFill="1" applyBorder="1" applyAlignment="1">
      <alignment vertical="top" wrapText="1"/>
    </xf>
    <xf numFmtId="43" fontId="7" fillId="7" borderId="20" xfId="0" applyNumberFormat="1" applyFont="1" applyFill="1" applyBorder="1" applyAlignment="1">
      <alignment vertical="top" wrapText="1"/>
    </xf>
    <xf numFmtId="43" fontId="7" fillId="7" borderId="20" xfId="0" applyNumberFormat="1" applyFont="1" applyFill="1" applyBorder="1" applyAlignment="1" applyProtection="1">
      <alignment vertical="top" wrapText="1"/>
      <protection locked="0"/>
    </xf>
    <xf numFmtId="0" fontId="6" fillId="7" borderId="21" xfId="0" applyFont="1" applyFill="1" applyBorder="1" applyAlignment="1">
      <alignment vertical="top" wrapText="1"/>
    </xf>
    <xf numFmtId="0" fontId="7" fillId="7" borderId="20" xfId="0" applyFont="1" applyFill="1" applyBorder="1" applyAlignment="1">
      <alignment vertical="top" wrapText="1"/>
    </xf>
    <xf numFmtId="0" fontId="7" fillId="7" borderId="20" xfId="0" applyFont="1" applyFill="1" applyBorder="1" applyAlignment="1" applyProtection="1">
      <alignment vertical="top" wrapText="1"/>
      <protection locked="0"/>
    </xf>
    <xf numFmtId="0" fontId="7" fillId="7" borderId="25" xfId="0" applyFont="1" applyFill="1" applyBorder="1" applyAlignment="1" applyProtection="1">
      <alignment vertical="top" wrapText="1"/>
      <protection locked="0"/>
    </xf>
    <xf numFmtId="164" fontId="7" fillId="7" borderId="20" xfId="0" applyNumberFormat="1" applyFont="1" applyFill="1" applyBorder="1" applyAlignment="1">
      <alignment vertical="top" wrapText="1"/>
    </xf>
    <xf numFmtId="164" fontId="7" fillId="7" borderId="23" xfId="0" applyNumberFormat="1" applyFont="1" applyFill="1" applyBorder="1" applyAlignment="1">
      <alignment vertical="top" wrapText="1"/>
    </xf>
    <xf numFmtId="164" fontId="7" fillId="7" borderId="20" xfId="0" applyNumberFormat="1" applyFont="1" applyFill="1" applyBorder="1" applyAlignment="1" applyProtection="1">
      <alignment vertical="top" wrapText="1"/>
      <protection locked="0"/>
    </xf>
    <xf numFmtId="164" fontId="7" fillId="7" borderId="23" xfId="0" applyNumberFormat="1" applyFont="1" applyFill="1" applyBorder="1" applyAlignment="1" applyProtection="1">
      <alignment vertical="top" wrapText="1"/>
      <protection locked="0"/>
    </xf>
    <xf numFmtId="0" fontId="7" fillId="7" borderId="13" xfId="0" applyFont="1" applyFill="1" applyBorder="1" applyAlignment="1">
      <alignment vertical="top" wrapText="1"/>
    </xf>
    <xf numFmtId="164" fontId="7" fillId="7" borderId="13" xfId="0" applyNumberFormat="1" applyFont="1" applyFill="1" applyBorder="1" applyAlignment="1" applyProtection="1">
      <alignment vertical="top" wrapText="1"/>
      <protection locked="0"/>
    </xf>
    <xf numFmtId="164" fontId="7" fillId="7" borderId="18" xfId="0" applyNumberFormat="1" applyFont="1" applyFill="1" applyBorder="1" applyAlignment="1" applyProtection="1">
      <alignment vertical="top" wrapText="1"/>
      <protection locked="0"/>
    </xf>
    <xf numFmtId="0" fontId="6" fillId="7" borderId="13" xfId="0" applyFont="1" applyFill="1" applyBorder="1" applyAlignment="1">
      <alignment vertical="top" wrapText="1"/>
    </xf>
    <xf numFmtId="0" fontId="47" fillId="0" borderId="43" xfId="0" applyFont="1" applyBorder="1" applyAlignment="1">
      <alignment horizontal="left"/>
    </xf>
    <xf numFmtId="0" fontId="46" fillId="0" borderId="44" xfId="0" applyFont="1" applyBorder="1" applyAlignment="1">
      <alignment horizontal="left" wrapText="1"/>
    </xf>
    <xf numFmtId="0" fontId="46" fillId="0" borderId="33" xfId="0" applyFont="1" applyBorder="1" applyAlignment="1">
      <alignment horizontal="left" wrapText="1"/>
    </xf>
    <xf numFmtId="165" fontId="46" fillId="0" borderId="45" xfId="0" applyNumberFormat="1" applyFont="1" applyBorder="1" applyAlignment="1">
      <alignment horizontal="right" wrapText="1"/>
    </xf>
    <xf numFmtId="0" fontId="46" fillId="0" borderId="0" xfId="0" applyFont="1" applyAlignment="1">
      <alignment horizontal="center" vertical="center"/>
    </xf>
    <xf numFmtId="0" fontId="46" fillId="0" borderId="19" xfId="0" applyFont="1" applyBorder="1" applyAlignment="1">
      <alignment horizontal="center" vertical="top" wrapText="1"/>
    </xf>
    <xf numFmtId="0" fontId="46" fillId="0" borderId="20" xfId="0" applyFont="1" applyBorder="1" applyAlignment="1">
      <alignment horizontal="center" wrapText="1"/>
    </xf>
    <xf numFmtId="0" fontId="46" fillId="0" borderId="13" xfId="0" applyFont="1" applyBorder="1" applyAlignment="1">
      <alignment horizontal="center" wrapText="1"/>
    </xf>
    <xf numFmtId="0" fontId="46" fillId="0" borderId="18" xfId="0" applyFont="1" applyBorder="1" applyAlignment="1">
      <alignment horizontal="center" wrapText="1"/>
    </xf>
    <xf numFmtId="0" fontId="46" fillId="0" borderId="12" xfId="0" applyFont="1" applyBorder="1"/>
    <xf numFmtId="10" fontId="46" fillId="0" borderId="12" xfId="0" applyNumberFormat="1" applyFont="1" applyBorder="1"/>
    <xf numFmtId="10" fontId="46" fillId="0" borderId="0" xfId="0" applyNumberFormat="1" applyFont="1"/>
    <xf numFmtId="0" fontId="47" fillId="0" borderId="42" xfId="0" applyFont="1" applyBorder="1" applyAlignment="1">
      <alignment wrapText="1"/>
    </xf>
    <xf numFmtId="165" fontId="46" fillId="0" borderId="42" xfId="0" applyNumberFormat="1" applyFont="1" applyBorder="1" applyAlignment="1">
      <alignment horizontal="right" wrapText="1"/>
    </xf>
    <xf numFmtId="0" fontId="47" fillId="0" borderId="20" xfId="0" applyFont="1" applyBorder="1" applyAlignment="1">
      <alignment vertical="top" wrapText="1"/>
    </xf>
    <xf numFmtId="0" fontId="46" fillId="0" borderId="20" xfId="0" applyFont="1" applyBorder="1" applyAlignment="1">
      <alignment vertical="top" wrapText="1"/>
    </xf>
    <xf numFmtId="0" fontId="47" fillId="0" borderId="13" xfId="0" applyFont="1" applyBorder="1" applyAlignment="1">
      <alignment vertical="top" wrapText="1"/>
    </xf>
    <xf numFmtId="164" fontId="46" fillId="0" borderId="12" xfId="0" applyNumberFormat="1" applyFont="1" applyBorder="1" applyAlignment="1">
      <alignment horizontal="justify" vertical="top" wrapText="1"/>
    </xf>
    <xf numFmtId="0" fontId="46" fillId="0" borderId="12" xfId="0" applyFont="1" applyBorder="1" applyAlignment="1">
      <alignment horizontal="justify" vertical="top" wrapText="1"/>
    </xf>
    <xf numFmtId="0" fontId="47" fillId="0" borderId="25" xfId="0" applyFont="1" applyBorder="1" applyAlignment="1">
      <alignment horizontal="left" wrapText="1"/>
    </xf>
    <xf numFmtId="164" fontId="47" fillId="0" borderId="25" xfId="0" applyNumberFormat="1" applyFont="1" applyBorder="1" applyAlignment="1">
      <alignment horizontal="justify" vertical="top" wrapText="1"/>
    </xf>
    <xf numFmtId="0" fontId="47" fillId="0" borderId="12" xfId="0" applyFont="1" applyBorder="1" applyAlignment="1">
      <alignment horizontal="left" wrapText="1"/>
    </xf>
    <xf numFmtId="164" fontId="47" fillId="0" borderId="12" xfId="0" applyNumberFormat="1" applyFont="1" applyBorder="1" applyAlignment="1">
      <alignment horizontal="justify" vertical="top" wrapText="1"/>
    </xf>
    <xf numFmtId="0" fontId="46" fillId="7" borderId="10" xfId="0" applyFont="1" applyFill="1" applyBorder="1" applyAlignment="1">
      <alignment wrapText="1"/>
    </xf>
    <xf numFmtId="43" fontId="46" fillId="7" borderId="10" xfId="0" applyNumberFormat="1" applyFont="1" applyFill="1" applyBorder="1" applyAlignment="1">
      <alignment wrapText="1"/>
    </xf>
    <xf numFmtId="10" fontId="46" fillId="7" borderId="10" xfId="0" applyNumberFormat="1" applyFont="1" applyFill="1" applyBorder="1" applyAlignment="1">
      <alignment horizontal="center" wrapText="1"/>
    </xf>
    <xf numFmtId="10" fontId="46" fillId="7" borderId="9" xfId="0" applyNumberFormat="1" applyFont="1" applyFill="1" applyBorder="1" applyAlignment="1">
      <alignment horizontal="center" wrapText="1"/>
    </xf>
    <xf numFmtId="43" fontId="46" fillId="7" borderId="12" xfId="0" applyNumberFormat="1" applyFont="1" applyFill="1" applyBorder="1" applyAlignment="1">
      <alignment horizontal="center" wrapText="1"/>
    </xf>
    <xf numFmtId="17" fontId="46" fillId="7" borderId="10" xfId="0" applyNumberFormat="1" applyFont="1" applyFill="1" applyBorder="1" applyAlignment="1">
      <alignment horizontal="center" wrapText="1"/>
    </xf>
    <xf numFmtId="43" fontId="46" fillId="7" borderId="10" xfId="0" applyNumberFormat="1" applyFont="1" applyFill="1" applyBorder="1" applyAlignment="1">
      <alignment horizontal="right" wrapText="1"/>
    </xf>
    <xf numFmtId="43" fontId="46" fillId="7" borderId="12" xfId="0" applyNumberFormat="1" applyFont="1" applyFill="1" applyBorder="1" applyAlignment="1">
      <alignment horizontal="right" wrapText="1"/>
    </xf>
    <xf numFmtId="17" fontId="46" fillId="0" borderId="10" xfId="0" applyNumberFormat="1" applyFont="1" applyBorder="1" applyAlignment="1">
      <alignment horizontal="center" wrapText="1"/>
    </xf>
    <xf numFmtId="43" fontId="46" fillId="0" borderId="10" xfId="0" applyNumberFormat="1" applyFont="1" applyBorder="1" applyAlignment="1">
      <alignment horizontal="right" wrapText="1"/>
    </xf>
    <xf numFmtId="10" fontId="46" fillId="0" borderId="10" xfId="0" applyNumberFormat="1" applyFont="1" applyBorder="1" applyAlignment="1">
      <alignment horizontal="center" wrapText="1"/>
    </xf>
    <xf numFmtId="10" fontId="46" fillId="0" borderId="9" xfId="0" applyNumberFormat="1" applyFont="1" applyBorder="1" applyAlignment="1">
      <alignment horizontal="center" wrapText="1"/>
    </xf>
    <xf numFmtId="43" fontId="46" fillId="0" borderId="12" xfId="0" applyNumberFormat="1" applyFont="1" applyBorder="1" applyAlignment="1">
      <alignment horizontal="right" wrapText="1"/>
    </xf>
    <xf numFmtId="0" fontId="46" fillId="0" borderId="10" xfId="0" applyFont="1" applyBorder="1" applyAlignment="1">
      <alignment horizontal="center" wrapText="1"/>
    </xf>
    <xf numFmtId="0" fontId="23" fillId="0" borderId="0" xfId="0" quotePrefix="1" applyFont="1"/>
    <xf numFmtId="10" fontId="46" fillId="10" borderId="25" xfId="0" applyNumberFormat="1" applyFont="1" applyFill="1" applyBorder="1" applyAlignment="1">
      <alignment horizontal="center" wrapText="1"/>
    </xf>
    <xf numFmtId="4" fontId="46" fillId="10" borderId="25" xfId="0" applyNumberFormat="1" applyFont="1" applyFill="1" applyBorder="1" applyAlignment="1">
      <alignment vertical="top" wrapText="1"/>
    </xf>
    <xf numFmtId="10" fontId="46" fillId="10" borderId="25" xfId="0" applyNumberFormat="1" applyFont="1" applyFill="1" applyBorder="1" applyAlignment="1">
      <alignment vertical="top" wrapText="1"/>
    </xf>
    <xf numFmtId="4" fontId="46" fillId="10" borderId="23" xfId="0" applyNumberFormat="1" applyFont="1" applyFill="1" applyBorder="1" applyAlignment="1">
      <alignment vertical="top" wrapText="1"/>
    </xf>
    <xf numFmtId="10" fontId="46" fillId="10" borderId="23" xfId="0" applyNumberFormat="1" applyFont="1" applyFill="1" applyBorder="1" applyAlignment="1">
      <alignment vertical="top" wrapText="1"/>
    </xf>
    <xf numFmtId="164" fontId="40" fillId="10" borderId="20" xfId="0" applyNumberFormat="1" applyFont="1" applyFill="1" applyBorder="1" applyAlignment="1">
      <alignment wrapText="1"/>
    </xf>
    <xf numFmtId="10" fontId="40" fillId="10" borderId="20" xfId="0" applyNumberFormat="1" applyFont="1" applyFill="1" applyBorder="1" applyAlignment="1">
      <alignment wrapText="1"/>
    </xf>
    <xf numFmtId="164" fontId="40" fillId="10" borderId="20" xfId="0" applyNumberFormat="1" applyFont="1" applyFill="1" applyBorder="1" applyAlignment="1" applyProtection="1">
      <alignment wrapText="1"/>
      <protection locked="0"/>
    </xf>
    <xf numFmtId="164" fontId="40" fillId="10" borderId="13" xfId="0" applyNumberFormat="1" applyFont="1" applyFill="1" applyBorder="1" applyAlignment="1" applyProtection="1">
      <alignment wrapText="1"/>
      <protection locked="0"/>
    </xf>
    <xf numFmtId="10" fontId="40" fillId="10" borderId="13" xfId="0" applyNumberFormat="1" applyFont="1" applyFill="1" applyBorder="1" applyAlignment="1">
      <alignment wrapText="1"/>
    </xf>
    <xf numFmtId="10" fontId="54" fillId="10" borderId="13" xfId="0" applyNumberFormat="1" applyFont="1" applyFill="1" applyBorder="1" applyAlignment="1">
      <alignment wrapText="1"/>
    </xf>
    <xf numFmtId="164" fontId="40" fillId="10" borderId="13" xfId="0" applyNumberFormat="1" applyFont="1" applyFill="1" applyBorder="1" applyAlignment="1">
      <alignment wrapText="1"/>
    </xf>
    <xf numFmtId="0" fontId="40" fillId="0" borderId="12" xfId="0" applyFont="1" applyBorder="1" applyAlignment="1">
      <alignment horizontal="center" vertical="center" wrapText="1"/>
    </xf>
    <xf numFmtId="164" fontId="7" fillId="10" borderId="13" xfId="0" applyNumberFormat="1" applyFont="1" applyFill="1" applyBorder="1" applyAlignment="1">
      <alignment vertical="top" wrapText="1"/>
    </xf>
    <xf numFmtId="164" fontId="7" fillId="10" borderId="12" xfId="0" applyNumberFormat="1" applyFont="1" applyFill="1" applyBorder="1" applyAlignment="1">
      <alignment vertical="top" wrapText="1"/>
    </xf>
    <xf numFmtId="164" fontId="7" fillId="10" borderId="18" xfId="0" applyNumberFormat="1" applyFont="1" applyFill="1" applyBorder="1" applyAlignment="1">
      <alignment vertical="top" wrapText="1"/>
    </xf>
    <xf numFmtId="0" fontId="47" fillId="0" borderId="19" xfId="0" applyFont="1" applyBorder="1" applyAlignment="1">
      <alignment horizontal="center" vertical="top" wrapText="1"/>
    </xf>
    <xf numFmtId="164" fontId="46" fillId="10" borderId="20" xfId="0" applyNumberFormat="1" applyFont="1" applyFill="1" applyBorder="1" applyAlignment="1">
      <alignment wrapText="1"/>
    </xf>
    <xf numFmtId="164" fontId="46" fillId="10" borderId="13" xfId="0" applyNumberFormat="1" applyFont="1" applyFill="1" applyBorder="1" applyAlignment="1">
      <alignment wrapText="1"/>
    </xf>
    <xf numFmtId="164" fontId="55" fillId="10" borderId="13" xfId="0" applyNumberFormat="1" applyFont="1" applyFill="1" applyBorder="1" applyAlignment="1">
      <alignment wrapText="1"/>
    </xf>
    <xf numFmtId="164" fontId="47" fillId="10" borderId="23" xfId="0" applyNumberFormat="1" applyFont="1" applyFill="1" applyBorder="1" applyAlignment="1">
      <alignment vertical="top" wrapText="1"/>
    </xf>
    <xf numFmtId="164" fontId="46" fillId="10" borderId="23" xfId="0" applyNumberFormat="1" applyFont="1" applyFill="1" applyBorder="1" applyAlignment="1">
      <alignment vertical="top" wrapText="1"/>
    </xf>
    <xf numFmtId="164" fontId="47" fillId="10" borderId="18" xfId="0" applyNumberFormat="1" applyFont="1" applyFill="1" applyBorder="1" applyAlignment="1">
      <alignment vertical="top" wrapText="1"/>
    </xf>
    <xf numFmtId="164" fontId="46" fillId="10" borderId="18" xfId="0" applyNumberFormat="1" applyFont="1" applyFill="1" applyBorder="1" applyAlignment="1">
      <alignment vertical="top" wrapText="1"/>
    </xf>
    <xf numFmtId="164" fontId="56" fillId="10" borderId="18" xfId="0" applyNumberFormat="1" applyFont="1" applyFill="1" applyBorder="1" applyAlignment="1">
      <alignment horizontal="right" vertical="top" wrapText="1"/>
    </xf>
    <xf numFmtId="0" fontId="7" fillId="12" borderId="12" xfId="0" applyFont="1" applyFill="1" applyBorder="1" applyProtection="1">
      <protection locked="0"/>
    </xf>
    <xf numFmtId="0" fontId="7" fillId="12" borderId="12" xfId="0" applyFont="1" applyFill="1" applyBorder="1"/>
    <xf numFmtId="0" fontId="7" fillId="13" borderId="12" xfId="0" applyFont="1" applyFill="1" applyBorder="1"/>
    <xf numFmtId="0" fontId="7" fillId="6" borderId="12" xfId="0" applyFont="1" applyFill="1" applyBorder="1"/>
    <xf numFmtId="0" fontId="7" fillId="0" borderId="0" xfId="0" applyFont="1" applyAlignment="1">
      <alignment wrapText="1"/>
    </xf>
    <xf numFmtId="0" fontId="47" fillId="0" borderId="12" xfId="0" applyFont="1" applyBorder="1" applyAlignment="1">
      <alignment wrapText="1"/>
    </xf>
    <xf numFmtId="0" fontId="47" fillId="0" borderId="23" xfId="0" applyFont="1" applyBorder="1" applyAlignment="1">
      <alignment wrapText="1"/>
    </xf>
    <xf numFmtId="0" fontId="47" fillId="0" borderId="18" xfId="0" applyFont="1" applyBorder="1" applyAlignment="1">
      <alignment wrapText="1"/>
    </xf>
    <xf numFmtId="4" fontId="46" fillId="0" borderId="0" xfId="0" applyNumberFormat="1" applyFont="1"/>
    <xf numFmtId="4" fontId="46" fillId="0" borderId="12" xfId="0" applyNumberFormat="1" applyFont="1" applyBorder="1"/>
    <xf numFmtId="4" fontId="46" fillId="14" borderId="12" xfId="0" applyNumberFormat="1" applyFont="1" applyFill="1" applyBorder="1" applyAlignment="1">
      <alignment vertical="top"/>
    </xf>
    <xf numFmtId="4" fontId="47" fillId="14" borderId="12" xfId="0" applyNumberFormat="1" applyFont="1" applyFill="1" applyBorder="1"/>
    <xf numFmtId="4" fontId="47" fillId="14" borderId="12" xfId="0" applyNumberFormat="1" applyFont="1" applyFill="1" applyBorder="1" applyAlignment="1">
      <alignment vertical="top"/>
    </xf>
    <xf numFmtId="4" fontId="46" fillId="14" borderId="12" xfId="0" applyNumberFormat="1" applyFont="1" applyFill="1" applyBorder="1"/>
    <xf numFmtId="10" fontId="46" fillId="14" borderId="12" xfId="0" applyNumberFormat="1" applyFont="1" applyFill="1" applyBorder="1" applyAlignment="1">
      <alignment horizontal="center" vertical="top"/>
    </xf>
    <xf numFmtId="4" fontId="46" fillId="14" borderId="12" xfId="0" applyNumberFormat="1" applyFont="1" applyFill="1" applyBorder="1" applyAlignment="1">
      <alignment horizontal="right" vertical="top"/>
    </xf>
    <xf numFmtId="4" fontId="46" fillId="14" borderId="12" xfId="0" applyNumberFormat="1" applyFont="1" applyFill="1" applyBorder="1" applyAlignment="1">
      <alignment horizontal="right"/>
    </xf>
    <xf numFmtId="10" fontId="47" fillId="14" borderId="12" xfId="0" applyNumberFormat="1" applyFont="1" applyFill="1" applyBorder="1" applyAlignment="1">
      <alignment horizontal="center" vertical="top"/>
    </xf>
    <xf numFmtId="4" fontId="47" fillId="14" borderId="12" xfId="0" applyNumberFormat="1" applyFont="1" applyFill="1" applyBorder="1" applyAlignment="1">
      <alignment horizontal="right"/>
    </xf>
    <xf numFmtId="4" fontId="47" fillId="0" borderId="12" xfId="0" applyNumberFormat="1" applyFont="1" applyBorder="1"/>
    <xf numFmtId="170" fontId="46" fillId="14" borderId="12" xfId="0" applyNumberFormat="1" applyFont="1" applyFill="1" applyBorder="1"/>
    <xf numFmtId="0" fontId="47" fillId="8" borderId="25" xfId="0" applyFont="1" applyFill="1" applyBorder="1" applyAlignment="1">
      <alignment horizontal="center" vertical="center" wrapText="1"/>
    </xf>
    <xf numFmtId="37" fontId="47" fillId="0" borderId="21" xfId="0" applyNumberFormat="1" applyFont="1" applyBorder="1"/>
    <xf numFmtId="37" fontId="47" fillId="8" borderId="24" xfId="0" applyNumberFormat="1" applyFont="1" applyFill="1" applyBorder="1" applyAlignment="1">
      <alignment vertical="center"/>
    </xf>
    <xf numFmtId="37" fontId="47" fillId="8" borderId="13" xfId="0" applyNumberFormat="1" applyFont="1" applyFill="1" applyBorder="1"/>
    <xf numFmtId="168" fontId="46" fillId="0" borderId="23" xfId="0" applyNumberFormat="1" applyFont="1" applyBorder="1" applyAlignment="1">
      <alignment horizontal="center" vertical="center"/>
    </xf>
    <xf numFmtId="0" fontId="46" fillId="0" borderId="12" xfId="0" applyFont="1" applyBorder="1" applyAlignment="1">
      <alignment horizontal="center" vertical="top" wrapText="1"/>
    </xf>
    <xf numFmtId="0" fontId="46" fillId="0" borderId="21" xfId="0" applyFont="1" applyBorder="1" applyAlignment="1">
      <alignment horizontal="justify" vertical="top" wrapText="1"/>
    </xf>
    <xf numFmtId="0" fontId="57" fillId="0" borderId="0" xfId="0" applyFont="1"/>
    <xf numFmtId="0" fontId="58" fillId="0" borderId="0" xfId="0" applyFont="1"/>
    <xf numFmtId="3" fontId="57" fillId="0" borderId="0" xfId="0" applyNumberFormat="1" applyFont="1"/>
    <xf numFmtId="3" fontId="59" fillId="0" borderId="12" xfId="0" applyNumberFormat="1" applyFont="1" applyBorder="1" applyAlignment="1">
      <alignment horizontal="center"/>
    </xf>
    <xf numFmtId="3" fontId="59" fillId="0" borderId="12" xfId="0" applyNumberFormat="1" applyFont="1" applyBorder="1" applyAlignment="1">
      <alignment horizontal="center" wrapText="1"/>
    </xf>
    <xf numFmtId="0" fontId="59" fillId="0" borderId="12" xfId="0" applyFont="1" applyBorder="1" applyAlignment="1">
      <alignment horizontal="center" wrapText="1"/>
    </xf>
    <xf numFmtId="0" fontId="59" fillId="0" borderId="12" xfId="0" applyFont="1" applyBorder="1"/>
    <xf numFmtId="164" fontId="59" fillId="10" borderId="12" xfId="0" applyNumberFormat="1" applyFont="1" applyFill="1" applyBorder="1" applyProtection="1">
      <protection locked="0"/>
    </xf>
    <xf numFmtId="164" fontId="60" fillId="0" borderId="12" xfId="0" applyNumberFormat="1" applyFont="1" applyBorder="1" applyProtection="1">
      <protection locked="0"/>
    </xf>
    <xf numFmtId="164" fontId="60" fillId="10" borderId="12" xfId="0" applyNumberFormat="1" applyFont="1" applyFill="1" applyBorder="1"/>
    <xf numFmtId="164" fontId="59" fillId="10" borderId="12" xfId="0" applyNumberFormat="1" applyFont="1" applyFill="1" applyBorder="1"/>
    <xf numFmtId="10" fontId="59" fillId="10" borderId="12" xfId="0" applyNumberFormat="1" applyFont="1" applyFill="1" applyBorder="1"/>
    <xf numFmtId="4" fontId="59" fillId="2" borderId="0" xfId="4" applyNumberFormat="1" applyFont="1" applyFill="1" applyBorder="1"/>
    <xf numFmtId="4" fontId="60" fillId="2" borderId="0" xfId="4" applyNumberFormat="1" applyFont="1" applyFill="1" applyBorder="1"/>
    <xf numFmtId="4" fontId="57" fillId="2" borderId="0" xfId="4" applyNumberFormat="1" applyFont="1" applyFill="1" applyBorder="1"/>
    <xf numFmtId="0" fontId="59" fillId="0" borderId="0" xfId="0" applyFont="1"/>
    <xf numFmtId="3" fontId="60" fillId="0" borderId="0" xfId="0" applyNumberFormat="1" applyFont="1"/>
    <xf numFmtId="4" fontId="60" fillId="0" borderId="0" xfId="0" applyNumberFormat="1" applyFont="1"/>
    <xf numFmtId="0" fontId="61" fillId="0" borderId="0" xfId="0" applyFont="1" applyAlignment="1">
      <alignment horizontal="right"/>
    </xf>
    <xf numFmtId="0" fontId="59" fillId="0" borderId="12" xfId="0" applyFont="1" applyBorder="1" applyAlignment="1">
      <alignment horizontal="center"/>
    </xf>
    <xf numFmtId="0" fontId="59" fillId="0" borderId="12" xfId="0" applyFont="1" applyBorder="1" applyAlignment="1">
      <alignment horizontal="left" vertical="center" wrapText="1"/>
    </xf>
    <xf numFmtId="164" fontId="59" fillId="10" borderId="12" xfId="0" applyNumberFormat="1" applyFont="1" applyFill="1" applyBorder="1" applyAlignment="1">
      <alignment horizontal="right"/>
    </xf>
    <xf numFmtId="164" fontId="59" fillId="0" borderId="12" xfId="0" applyNumberFormat="1" applyFont="1" applyBorder="1" applyAlignment="1" applyProtection="1">
      <alignment horizontal="right"/>
      <protection locked="0"/>
    </xf>
    <xf numFmtId="0" fontId="60" fillId="0" borderId="12" xfId="0" applyFont="1" applyBorder="1"/>
    <xf numFmtId="164" fontId="60" fillId="0" borderId="12" xfId="0" applyNumberFormat="1" applyFont="1" applyBorder="1"/>
    <xf numFmtId="0" fontId="62" fillId="0" borderId="0" xfId="0" applyFont="1"/>
    <xf numFmtId="0" fontId="63" fillId="0" borderId="0" xfId="0" applyFont="1"/>
    <xf numFmtId="0" fontId="59" fillId="14" borderId="12" xfId="0" applyFont="1" applyFill="1" applyBorder="1"/>
    <xf numFmtId="164" fontId="59" fillId="14" borderId="12" xfId="0" applyNumberFormat="1" applyFont="1" applyFill="1" applyBorder="1" applyProtection="1">
      <protection locked="0"/>
    </xf>
    <xf numFmtId="4" fontId="46" fillId="14" borderId="20" xfId="0" applyNumberFormat="1" applyFont="1" applyFill="1" applyBorder="1" applyAlignment="1">
      <alignment wrapText="1"/>
    </xf>
    <xf numFmtId="4" fontId="46" fillId="14" borderId="23" xfId="0" applyNumberFormat="1" applyFont="1" applyFill="1" applyBorder="1" applyAlignment="1">
      <alignment wrapText="1"/>
    </xf>
    <xf numFmtId="0" fontId="47" fillId="0" borderId="12" xfId="0" applyFont="1" applyBorder="1"/>
    <xf numFmtId="10" fontId="47" fillId="14" borderId="12" xfId="0" applyNumberFormat="1" applyFont="1" applyFill="1" applyBorder="1" applyAlignment="1">
      <alignment horizontal="center"/>
    </xf>
    <xf numFmtId="10" fontId="47" fillId="10" borderId="25" xfId="0" applyNumberFormat="1" applyFont="1" applyFill="1" applyBorder="1" applyAlignment="1">
      <alignment horizontal="center" wrapText="1"/>
    </xf>
    <xf numFmtId="4" fontId="47" fillId="10" borderId="23" xfId="0" applyNumberFormat="1" applyFont="1" applyFill="1" applyBorder="1" applyAlignment="1">
      <alignment vertical="top" wrapText="1"/>
    </xf>
    <xf numFmtId="4" fontId="47" fillId="14" borderId="12" xfId="0" applyNumberFormat="1" applyFont="1" applyFill="1" applyBorder="1" applyAlignment="1">
      <alignment wrapText="1"/>
    </xf>
    <xf numFmtId="4" fontId="47" fillId="0" borderId="18" xfId="0" applyNumberFormat="1" applyFont="1" applyBorder="1" applyAlignment="1">
      <alignment wrapText="1"/>
    </xf>
    <xf numFmtId="4" fontId="47" fillId="14" borderId="18" xfId="0" applyNumberFormat="1" applyFont="1" applyFill="1" applyBorder="1" applyAlignment="1">
      <alignment wrapText="1"/>
    </xf>
    <xf numFmtId="4" fontId="46" fillId="14" borderId="20" xfId="2" applyNumberFormat="1" applyFont="1" applyFill="1" applyBorder="1" applyAlignment="1">
      <alignment wrapText="1"/>
    </xf>
    <xf numFmtId="4" fontId="46" fillId="0" borderId="25" xfId="2" applyNumberFormat="1" applyFont="1" applyBorder="1" applyAlignment="1">
      <alignment wrapText="1"/>
    </xf>
    <xf numFmtId="0" fontId="6" fillId="7" borderId="0" xfId="0" applyFont="1" applyFill="1" applyAlignment="1">
      <alignment vertical="top" wrapText="1"/>
    </xf>
    <xf numFmtId="43" fontId="6" fillId="7" borderId="20" xfId="0" applyNumberFormat="1" applyFont="1" applyFill="1" applyBorder="1" applyAlignment="1">
      <alignment vertical="top" wrapText="1"/>
    </xf>
    <xf numFmtId="43" fontId="6" fillId="7" borderId="18" xfId="0" applyNumberFormat="1" applyFont="1" applyFill="1" applyBorder="1" applyAlignment="1" applyProtection="1">
      <alignment vertical="top" wrapText="1"/>
      <protection locked="0"/>
    </xf>
    <xf numFmtId="43" fontId="6" fillId="7" borderId="13" xfId="0" applyNumberFormat="1" applyFont="1" applyFill="1" applyBorder="1" applyAlignment="1" applyProtection="1">
      <alignment vertical="top" wrapText="1"/>
      <protection locked="0"/>
    </xf>
    <xf numFmtId="43" fontId="6" fillId="10" borderId="18" xfId="0" applyNumberFormat="1" applyFont="1" applyFill="1" applyBorder="1" applyAlignment="1">
      <alignment vertical="top" wrapText="1"/>
    </xf>
    <xf numFmtId="0" fontId="6" fillId="7" borderId="20" xfId="0" applyFont="1" applyFill="1" applyBorder="1" applyAlignment="1">
      <alignment vertical="top" wrapText="1"/>
    </xf>
    <xf numFmtId="164" fontId="6" fillId="7" borderId="23" xfId="0" applyNumberFormat="1" applyFont="1" applyFill="1" applyBorder="1" applyAlignment="1">
      <alignment vertical="top" wrapText="1"/>
    </xf>
    <xf numFmtId="164" fontId="47" fillId="0" borderId="20" xfId="0" applyNumberFormat="1" applyFont="1" applyBorder="1" applyAlignment="1">
      <alignment wrapText="1"/>
    </xf>
    <xf numFmtId="164" fontId="47" fillId="0" borderId="13" xfId="0" applyNumberFormat="1" applyFont="1" applyBorder="1" applyAlignment="1">
      <alignment wrapText="1"/>
    </xf>
    <xf numFmtId="0" fontId="2" fillId="0" borderId="0" xfId="0" applyFont="1" applyAlignment="1" applyProtection="1">
      <alignment horizontal="center"/>
      <protection locked="0"/>
    </xf>
    <xf numFmtId="0" fontId="6" fillId="7" borderId="21" xfId="0" applyFont="1" applyFill="1" applyBorder="1" applyAlignment="1">
      <alignment horizontal="center" wrapText="1"/>
    </xf>
    <xf numFmtId="0" fontId="46" fillId="0" borderId="33" xfId="2" applyFont="1" applyBorder="1" applyAlignment="1">
      <alignment horizontal="left" wrapText="1"/>
    </xf>
    <xf numFmtId="0" fontId="47" fillId="0" borderId="12" xfId="0" applyFont="1" applyBorder="1" applyAlignment="1">
      <alignment horizontal="center" vertical="center" wrapText="1"/>
    </xf>
    <xf numFmtId="0" fontId="6" fillId="7" borderId="13" xfId="0" applyFont="1" applyFill="1" applyBorder="1" applyAlignment="1">
      <alignment horizontal="center" vertical="center" wrapText="1"/>
    </xf>
    <xf numFmtId="0" fontId="47" fillId="8" borderId="28" xfId="0" applyFont="1" applyFill="1" applyBorder="1" applyAlignment="1">
      <alignment horizontal="center" vertical="center" wrapText="1"/>
    </xf>
    <xf numFmtId="0" fontId="47" fillId="8" borderId="12" xfId="0" applyFont="1" applyFill="1" applyBorder="1" applyAlignment="1">
      <alignment horizontal="center" vertical="center" wrapText="1"/>
    </xf>
    <xf numFmtId="0" fontId="46" fillId="0" borderId="0" xfId="0" applyFont="1" applyAlignment="1">
      <alignment horizontal="center"/>
    </xf>
    <xf numFmtId="0" fontId="47" fillId="8" borderId="12" xfId="0" applyFont="1" applyFill="1" applyBorder="1" applyAlignment="1">
      <alignment horizontal="center" wrapText="1"/>
    </xf>
    <xf numFmtId="0" fontId="46" fillId="0" borderId="28" xfId="0" applyFont="1" applyBorder="1" applyAlignment="1">
      <alignment horizontal="center" vertical="top" wrapText="1"/>
    </xf>
    <xf numFmtId="0" fontId="46" fillId="0" borderId="22" xfId="0" applyFont="1" applyBorder="1" applyAlignment="1">
      <alignment horizontal="center" vertical="top" wrapText="1"/>
    </xf>
    <xf numFmtId="0" fontId="47" fillId="7" borderId="0" xfId="0" applyFont="1" applyFill="1" applyAlignment="1">
      <alignment horizontal="center" vertical="center"/>
    </xf>
    <xf numFmtId="0" fontId="47" fillId="8" borderId="29" xfId="0" applyFont="1" applyFill="1" applyBorder="1" applyAlignment="1">
      <alignment horizontal="center" vertical="center" wrapText="1"/>
    </xf>
    <xf numFmtId="0" fontId="46" fillId="0" borderId="23" xfId="0" applyFont="1" applyBorder="1" applyAlignment="1">
      <alignment horizontal="center" wrapText="1"/>
    </xf>
    <xf numFmtId="0" fontId="46" fillId="0" borderId="12" xfId="0" applyFont="1" applyBorder="1" applyAlignment="1">
      <alignment horizontal="left" wrapText="1"/>
    </xf>
    <xf numFmtId="0" fontId="46" fillId="0" borderId="13" xfId="0" applyFont="1" applyBorder="1" applyAlignment="1">
      <alignment horizontal="center" vertical="center" wrapText="1"/>
    </xf>
    <xf numFmtId="0" fontId="47" fillId="0" borderId="12" xfId="0" applyFont="1" applyBorder="1" applyAlignment="1">
      <alignment horizontal="center" wrapText="1"/>
    </xf>
    <xf numFmtId="0" fontId="46" fillId="0" borderId="12" xfId="0" applyFont="1" applyBorder="1" applyAlignment="1">
      <alignment horizontal="center" wrapText="1"/>
    </xf>
    <xf numFmtId="43" fontId="46" fillId="10" borderId="12" xfId="0" applyNumberFormat="1" applyFont="1" applyFill="1" applyBorder="1" applyAlignment="1">
      <alignment horizontal="right" wrapText="1"/>
    </xf>
    <xf numFmtId="3" fontId="7" fillId="0" borderId="0" xfId="0" applyNumberFormat="1" applyFont="1"/>
    <xf numFmtId="167" fontId="2" fillId="4" borderId="1" xfId="0" applyNumberFormat="1" applyFont="1" applyFill="1" applyBorder="1" applyAlignment="1">
      <alignment horizontal="center" vertical="center"/>
    </xf>
    <xf numFmtId="167" fontId="2" fillId="4" borderId="2" xfId="0" applyNumberFormat="1" applyFont="1" applyFill="1" applyBorder="1" applyAlignment="1">
      <alignment horizontal="center" vertical="center"/>
    </xf>
    <xf numFmtId="0" fontId="2" fillId="4" borderId="12" xfId="0" applyFont="1" applyFill="1" applyBorder="1"/>
    <xf numFmtId="164" fontId="2" fillId="4" borderId="12" xfId="0" applyNumberFormat="1" applyFont="1" applyFill="1" applyBorder="1"/>
    <xf numFmtId="4" fontId="2" fillId="2" borderId="2" xfId="0" applyNumberFormat="1" applyFont="1" applyFill="1" applyBorder="1" applyProtection="1">
      <protection locked="0"/>
    </xf>
    <xf numFmtId="167" fontId="2" fillId="3" borderId="1" xfId="0" applyNumberFormat="1" applyFont="1" applyFill="1" applyBorder="1" applyAlignment="1">
      <alignment horizontal="center" vertical="center"/>
    </xf>
    <xf numFmtId="167" fontId="2" fillId="3" borderId="2" xfId="0" applyNumberFormat="1" applyFont="1" applyFill="1" applyBorder="1" applyAlignment="1">
      <alignment horizontal="center" vertical="center"/>
    </xf>
    <xf numFmtId="0" fontId="27" fillId="0" borderId="24" xfId="0" applyFont="1" applyBorder="1" applyAlignment="1">
      <alignment horizontal="center" vertical="center"/>
    </xf>
    <xf numFmtId="0" fontId="27" fillId="0" borderId="12" xfId="0" applyFont="1" applyBorder="1" applyAlignment="1">
      <alignment horizontal="center" vertical="center"/>
    </xf>
    <xf numFmtId="43" fontId="27" fillId="10" borderId="12" xfId="0" applyNumberFormat="1" applyFont="1" applyFill="1" applyBorder="1" applyAlignment="1">
      <alignment vertical="center"/>
    </xf>
    <xf numFmtId="49" fontId="27" fillId="0" borderId="24" xfId="0" applyNumberFormat="1" applyFont="1" applyBorder="1" applyAlignment="1">
      <alignment horizontal="left" vertical="center"/>
    </xf>
    <xf numFmtId="43" fontId="27" fillId="0" borderId="12" xfId="0" applyNumberFormat="1" applyFont="1" applyBorder="1" applyAlignment="1">
      <alignment horizontal="left" vertical="center"/>
    </xf>
    <xf numFmtId="43" fontId="27" fillId="0" borderId="12" xfId="0" applyNumberFormat="1" applyFont="1" applyBorder="1" applyAlignment="1">
      <alignment vertical="center"/>
    </xf>
    <xf numFmtId="43" fontId="1" fillId="0" borderId="12" xfId="0" applyNumberFormat="1" applyFont="1" applyBorder="1"/>
    <xf numFmtId="43" fontId="1" fillId="2" borderId="12" xfId="0" applyNumberFormat="1" applyFont="1" applyFill="1" applyBorder="1"/>
    <xf numFmtId="4" fontId="1" fillId="0" borderId="12" xfId="0" applyNumberFormat="1" applyFont="1" applyBorder="1"/>
    <xf numFmtId="164" fontId="10" fillId="4" borderId="12" xfId="5" applyFont="1" applyFill="1" applyBorder="1"/>
    <xf numFmtId="164" fontId="2" fillId="2" borderId="2" xfId="5" applyFont="1" applyFill="1" applyBorder="1" applyProtection="1">
      <protection locked="0"/>
    </xf>
    <xf numFmtId="164" fontId="11" fillId="3" borderId="2" xfId="5" applyFont="1" applyFill="1" applyBorder="1" applyAlignment="1" applyProtection="1">
      <alignment horizontal="center"/>
      <protection locked="0"/>
    </xf>
    <xf numFmtId="164" fontId="2" fillId="3" borderId="2" xfId="5" applyFont="1" applyFill="1" applyBorder="1" applyAlignment="1">
      <alignment horizontal="center" vertical="center"/>
    </xf>
    <xf numFmtId="164" fontId="11" fillId="0" borderId="2" xfId="5" applyFont="1" applyBorder="1" applyProtection="1">
      <protection locked="0"/>
    </xf>
    <xf numFmtId="164" fontId="11" fillId="2" borderId="2" xfId="5" applyFont="1" applyFill="1" applyBorder="1" applyProtection="1">
      <protection locked="0"/>
    </xf>
    <xf numFmtId="164" fontId="11" fillId="2" borderId="4" xfId="5" applyFont="1" applyFill="1" applyBorder="1" applyProtection="1">
      <protection locked="0"/>
    </xf>
    <xf numFmtId="164" fontId="11" fillId="0" borderId="5" xfId="5" applyFont="1" applyBorder="1" applyProtection="1">
      <protection locked="0"/>
    </xf>
    <xf numFmtId="164" fontId="4" fillId="0" borderId="0" xfId="5" applyFont="1" applyProtection="1">
      <protection locked="0"/>
    </xf>
    <xf numFmtId="43" fontId="25" fillId="0" borderId="0" xfId="0" applyNumberFormat="1" applyFont="1" applyProtection="1">
      <protection locked="0"/>
    </xf>
    <xf numFmtId="43" fontId="8" fillId="0" borderId="0" xfId="0" applyNumberFormat="1" applyFont="1"/>
    <xf numFmtId="43" fontId="0" fillId="0" borderId="0" xfId="0" applyNumberFormat="1"/>
    <xf numFmtId="43" fontId="6" fillId="0" borderId="0" xfId="0" applyNumberFormat="1" applyFont="1"/>
    <xf numFmtId="43" fontId="23" fillId="0" borderId="0" xfId="0" applyNumberFormat="1" applyFont="1"/>
    <xf numFmtId="0" fontId="13" fillId="0" borderId="0" xfId="0" applyFont="1"/>
    <xf numFmtId="0" fontId="0" fillId="0" borderId="0" xfId="0"/>
    <xf numFmtId="38" fontId="18" fillId="0" borderId="47" xfId="0" applyNumberFormat="1" applyFont="1" applyBorder="1" applyAlignment="1">
      <alignment horizontal="center"/>
    </xf>
    <xf numFmtId="0" fontId="18" fillId="0" borderId="48" xfId="0" applyFont="1" applyBorder="1" applyAlignment="1">
      <alignment horizontal="center"/>
    </xf>
    <xf numFmtId="0" fontId="18" fillId="0" borderId="49" xfId="0" applyFont="1" applyBorder="1" applyAlignment="1">
      <alignment horizontal="center"/>
    </xf>
    <xf numFmtId="0" fontId="18" fillId="0" borderId="47" xfId="0" applyFont="1" applyBorder="1" applyAlignment="1">
      <alignment horizontal="center"/>
    </xf>
    <xf numFmtId="0" fontId="19" fillId="0" borderId="50" xfId="0" applyFont="1" applyBorder="1" applyAlignment="1">
      <alignment horizontal="center"/>
    </xf>
    <xf numFmtId="0" fontId="19" fillId="0" borderId="51" xfId="0" applyFont="1" applyBorder="1" applyAlignment="1">
      <alignment horizontal="center"/>
    </xf>
    <xf numFmtId="0" fontId="19" fillId="0" borderId="48" xfId="0" applyFont="1" applyBorder="1" applyAlignment="1">
      <alignment horizontal="center"/>
    </xf>
    <xf numFmtId="0" fontId="19" fillId="0" borderId="49" xfId="0" applyFont="1" applyBorder="1" applyAlignment="1">
      <alignment horizontal="center"/>
    </xf>
    <xf numFmtId="38" fontId="2" fillId="0" borderId="0" xfId="0" applyNumberFormat="1" applyFont="1" applyAlignment="1" applyProtection="1">
      <alignment horizontal="center"/>
      <protection locked="0"/>
    </xf>
    <xf numFmtId="0" fontId="3" fillId="0" borderId="0" xfId="0" applyFont="1" applyAlignment="1">
      <alignment horizontal="center"/>
    </xf>
    <xf numFmtId="38" fontId="11" fillId="0" borderId="0" xfId="0" applyNumberFormat="1" applyFont="1" applyAlignment="1" applyProtection="1">
      <alignment horizontal="center"/>
      <protection locked="0"/>
    </xf>
    <xf numFmtId="0" fontId="2" fillId="0" borderId="0" xfId="0" applyFont="1" applyAlignment="1" applyProtection="1">
      <alignment horizontal="center"/>
      <protection locked="0"/>
    </xf>
    <xf numFmtId="0" fontId="2" fillId="0" borderId="0" xfId="0" applyFont="1" applyAlignment="1">
      <alignment horizontal="center"/>
    </xf>
    <xf numFmtId="38" fontId="2" fillId="0" borderId="0" xfId="0" applyNumberFormat="1" applyFont="1" applyAlignment="1">
      <alignment horizontal="center"/>
    </xf>
    <xf numFmtId="0" fontId="6" fillId="4" borderId="12" xfId="0" applyFont="1" applyFill="1" applyBorder="1" applyAlignment="1" applyProtection="1">
      <alignment horizontal="center" vertical="center"/>
      <protection locked="0"/>
    </xf>
    <xf numFmtId="0" fontId="0" fillId="0" borderId="12" xfId="0" applyBorder="1" applyAlignment="1">
      <alignment horizontal="center" vertical="center"/>
    </xf>
    <xf numFmtId="0" fontId="2" fillId="4" borderId="12" xfId="0" applyFont="1" applyFill="1" applyBorder="1" applyAlignment="1">
      <alignment horizontal="center"/>
    </xf>
    <xf numFmtId="0" fontId="0" fillId="0" borderId="12" xfId="0" applyBorder="1" applyAlignment="1">
      <alignment horizontal="center"/>
    </xf>
    <xf numFmtId="0" fontId="3" fillId="4" borderId="12" xfId="0" applyFont="1" applyFill="1" applyBorder="1" applyAlignment="1">
      <alignment horizontal="center"/>
    </xf>
    <xf numFmtId="0" fontId="50" fillId="4" borderId="12" xfId="0" applyFont="1" applyFill="1" applyBorder="1" applyAlignment="1" applyProtection="1">
      <alignment horizontal="center" vertical="center" wrapText="1"/>
      <protection locked="0"/>
    </xf>
    <xf numFmtId="0" fontId="50" fillId="0" borderId="12" xfId="0" applyFont="1" applyBorder="1" applyAlignment="1">
      <alignment horizontal="center" vertical="center"/>
    </xf>
    <xf numFmtId="0" fontId="11" fillId="4" borderId="28" xfId="0" applyFont="1" applyFill="1" applyBorder="1" applyAlignment="1" applyProtection="1">
      <alignment horizontal="center" vertical="center"/>
      <protection locked="0"/>
    </xf>
    <xf numFmtId="0" fontId="0" fillId="0" borderId="30" xfId="0" applyBorder="1" applyAlignment="1">
      <alignment horizontal="center" vertical="center"/>
    </xf>
    <xf numFmtId="0" fontId="0" fillId="0" borderId="29" xfId="0" applyBorder="1" applyAlignment="1">
      <alignment horizontal="center" vertical="center"/>
    </xf>
    <xf numFmtId="0" fontId="0" fillId="0" borderId="13" xfId="0" applyBorder="1" applyAlignment="1">
      <alignment horizontal="center" vertical="center"/>
    </xf>
    <xf numFmtId="38" fontId="11" fillId="0" borderId="0" xfId="0" applyNumberFormat="1" applyFont="1" applyAlignment="1" applyProtection="1">
      <alignment horizontal="left" wrapText="1"/>
      <protection locked="0"/>
    </xf>
    <xf numFmtId="0" fontId="0" fillId="0" borderId="0" xfId="0" applyAlignment="1">
      <alignment horizontal="left" wrapText="1"/>
    </xf>
    <xf numFmtId="167" fontId="2" fillId="4" borderId="25" xfId="0" applyNumberFormat="1" applyFont="1" applyFill="1" applyBorder="1" applyAlignment="1">
      <alignment horizontal="center" vertical="center"/>
    </xf>
    <xf numFmtId="0" fontId="0" fillId="0" borderId="18" xfId="0" applyBorder="1" applyAlignment="1">
      <alignment horizontal="center" vertical="center"/>
    </xf>
    <xf numFmtId="0" fontId="2" fillId="4" borderId="27" xfId="0" applyFont="1" applyFill="1" applyBorder="1" applyAlignment="1">
      <alignment horizontal="center"/>
    </xf>
    <xf numFmtId="0" fontId="2" fillId="4" borderId="19" xfId="0" applyFont="1" applyFill="1" applyBorder="1" applyAlignment="1">
      <alignment horizontal="center"/>
    </xf>
    <xf numFmtId="38" fontId="27" fillId="0" borderId="0" xfId="0" applyNumberFormat="1" applyFont="1" applyAlignment="1">
      <alignment horizontal="center" vertical="center" wrapText="1"/>
    </xf>
    <xf numFmtId="0" fontId="0" fillId="0" borderId="0" xfId="0" applyAlignment="1">
      <alignment horizontal="center" vertical="center" wrapText="1"/>
    </xf>
    <xf numFmtId="0" fontId="27" fillId="0" borderId="0" xfId="0" applyFont="1" applyAlignment="1">
      <alignment horizontal="center" vertical="center" wrapText="1"/>
    </xf>
    <xf numFmtId="0" fontId="27" fillId="0" borderId="21" xfId="0" applyFont="1" applyBorder="1" applyAlignment="1">
      <alignment horizontal="center" vertical="center"/>
    </xf>
    <xf numFmtId="0" fontId="6" fillId="0" borderId="21" xfId="0" applyFont="1" applyBorder="1" applyAlignment="1">
      <alignment vertical="center"/>
    </xf>
    <xf numFmtId="49" fontId="27" fillId="7" borderId="26" xfId="0" applyNumberFormat="1" applyFont="1" applyFill="1" applyBorder="1" applyAlignment="1">
      <alignment horizontal="center" vertical="center" wrapText="1"/>
    </xf>
    <xf numFmtId="0" fontId="27" fillId="7" borderId="13" xfId="0" applyFont="1" applyFill="1" applyBorder="1" applyAlignment="1">
      <alignment horizontal="center" vertical="center" wrapText="1"/>
    </xf>
    <xf numFmtId="0" fontId="27" fillId="7" borderId="24" xfId="0" applyFont="1" applyFill="1" applyBorder="1" applyAlignment="1">
      <alignment horizontal="center" vertical="center" wrapText="1"/>
    </xf>
    <xf numFmtId="38" fontId="27" fillId="7" borderId="0" xfId="0" applyNumberFormat="1" applyFont="1" applyFill="1" applyAlignment="1">
      <alignment horizontal="center" vertical="center"/>
    </xf>
    <xf numFmtId="0" fontId="0" fillId="7" borderId="0" xfId="0" applyFill="1" applyAlignment="1">
      <alignment horizontal="center" vertical="center"/>
    </xf>
    <xf numFmtId="0" fontId="27" fillId="7" borderId="0" xfId="0" applyFont="1" applyFill="1" applyAlignment="1">
      <alignment horizontal="center" vertical="center" wrapText="1"/>
    </xf>
    <xf numFmtId="0" fontId="29" fillId="7" borderId="21" xfId="0" applyFont="1" applyFill="1" applyBorder="1" applyAlignment="1">
      <alignment horizontal="center" wrapText="1"/>
    </xf>
    <xf numFmtId="0" fontId="6" fillId="7" borderId="21" xfId="0" applyFont="1" applyFill="1" applyBorder="1" applyAlignment="1">
      <alignment horizontal="center" wrapText="1"/>
    </xf>
    <xf numFmtId="0" fontId="27" fillId="7" borderId="24" xfId="5" applyNumberFormat="1" applyFont="1" applyFill="1" applyBorder="1" applyAlignment="1" applyProtection="1">
      <alignment horizontal="center" vertical="center"/>
    </xf>
    <xf numFmtId="0" fontId="53" fillId="0" borderId="27" xfId="0" applyFont="1" applyBorder="1" applyAlignment="1">
      <alignment wrapText="1"/>
    </xf>
    <xf numFmtId="0" fontId="46" fillId="0" borderId="24" xfId="0" applyFont="1" applyBorder="1" applyAlignment="1">
      <alignment wrapText="1"/>
    </xf>
    <xf numFmtId="0" fontId="46" fillId="0" borderId="19" xfId="0" applyFont="1" applyBorder="1" applyAlignment="1">
      <alignment wrapText="1"/>
    </xf>
    <xf numFmtId="0" fontId="59" fillId="0" borderId="12" xfId="0" applyFont="1" applyBorder="1" applyAlignment="1">
      <alignment horizontal="center" vertical="center" wrapText="1"/>
    </xf>
    <xf numFmtId="38" fontId="64" fillId="0" borderId="47" xfId="0" applyNumberFormat="1" applyFont="1" applyBorder="1" applyAlignment="1">
      <alignment horizontal="center"/>
    </xf>
    <xf numFmtId="0" fontId="64" fillId="0" borderId="48" xfId="0" applyFont="1" applyBorder="1" applyAlignment="1">
      <alignment horizontal="center"/>
    </xf>
    <xf numFmtId="0" fontId="64" fillId="0" borderId="49" xfId="0" applyFont="1" applyBorder="1" applyAlignment="1">
      <alignment horizontal="center"/>
    </xf>
    <xf numFmtId="0" fontId="64" fillId="0" borderId="47" xfId="0" applyFont="1" applyBorder="1" applyAlignment="1">
      <alignment horizontal="center"/>
    </xf>
    <xf numFmtId="0" fontId="59" fillId="0" borderId="27" xfId="0" applyFont="1" applyBorder="1" applyAlignment="1">
      <alignment horizontal="center"/>
    </xf>
    <xf numFmtId="0" fontId="46" fillId="0" borderId="24" xfId="0" applyFont="1" applyBorder="1" applyAlignment="1">
      <alignment horizontal="center"/>
    </xf>
    <xf numFmtId="0" fontId="46" fillId="0" borderId="19" xfId="0" applyFont="1" applyBorder="1" applyAlignment="1">
      <alignment horizontal="center"/>
    </xf>
    <xf numFmtId="0" fontId="46" fillId="0" borderId="27" xfId="2" applyFont="1" applyBorder="1" applyAlignment="1">
      <alignment wrapText="1"/>
    </xf>
    <xf numFmtId="0" fontId="7" fillId="0" borderId="24" xfId="0" applyFont="1" applyBorder="1" applyAlignment="1">
      <alignment wrapText="1"/>
    </xf>
    <xf numFmtId="0" fontId="7" fillId="0" borderId="19" xfId="0" applyFont="1" applyBorder="1" applyAlignment="1">
      <alignment wrapText="1"/>
    </xf>
    <xf numFmtId="10" fontId="52" fillId="0" borderId="28" xfId="2" applyNumberFormat="1" applyFont="1" applyBorder="1" applyAlignment="1">
      <alignment horizontal="center" vertical="center" textRotation="90" wrapText="1"/>
    </xf>
    <xf numFmtId="0" fontId="14" fillId="0" borderId="22" xfId="0" applyFont="1" applyBorder="1" applyAlignment="1">
      <alignment horizontal="center" vertical="center" textRotation="90" wrapText="1"/>
    </xf>
    <xf numFmtId="0" fontId="14" fillId="0" borderId="29" xfId="0" applyFont="1" applyBorder="1" applyAlignment="1">
      <alignment horizontal="center" vertical="center" textRotation="90" wrapText="1"/>
    </xf>
    <xf numFmtId="0" fontId="40" fillId="0" borderId="12" xfId="2" applyFont="1" applyBorder="1" applyAlignment="1">
      <alignment horizontal="left" wrapText="1"/>
    </xf>
    <xf numFmtId="0" fontId="7" fillId="0" borderId="12" xfId="0" applyFont="1" applyBorder="1" applyAlignment="1">
      <alignment horizontal="left" wrapText="1"/>
    </xf>
    <xf numFmtId="0" fontId="46" fillId="0" borderId="12" xfId="2" applyFont="1" applyBorder="1" applyAlignment="1">
      <alignment wrapText="1"/>
    </xf>
    <xf numFmtId="0" fontId="7" fillId="0" borderId="12" xfId="0" applyFont="1" applyBorder="1" applyAlignment="1">
      <alignment wrapText="1"/>
    </xf>
    <xf numFmtId="0" fontId="46" fillId="0" borderId="12" xfId="2" applyFont="1" applyBorder="1" applyAlignment="1">
      <alignment horizontal="left" wrapText="1"/>
    </xf>
    <xf numFmtId="0" fontId="46" fillId="0" borderId="12" xfId="0" applyFont="1" applyBorder="1" applyAlignment="1">
      <alignment wrapText="1"/>
    </xf>
    <xf numFmtId="0" fontId="46" fillId="0" borderId="43" xfId="2" applyFont="1" applyBorder="1" applyAlignment="1">
      <alignment horizontal="left" wrapText="1"/>
    </xf>
    <xf numFmtId="0" fontId="46" fillId="0" borderId="44" xfId="2" applyFont="1" applyBorder="1" applyAlignment="1">
      <alignment horizontal="left" wrapText="1"/>
    </xf>
    <xf numFmtId="0" fontId="46" fillId="0" borderId="33" xfId="2" applyFont="1" applyBorder="1" applyAlignment="1">
      <alignment horizontal="left" wrapText="1"/>
    </xf>
    <xf numFmtId="165" fontId="46" fillId="0" borderId="52" xfId="2" applyNumberFormat="1" applyFont="1" applyBorder="1" applyAlignment="1">
      <alignment horizontal="right" wrapText="1"/>
    </xf>
    <xf numFmtId="165" fontId="46" fillId="0" borderId="21" xfId="2" applyNumberFormat="1" applyFont="1" applyBorder="1" applyAlignment="1">
      <alignment horizontal="right" wrapText="1"/>
    </xf>
    <xf numFmtId="0" fontId="47" fillId="0" borderId="27" xfId="2" applyFont="1" applyBorder="1" applyAlignment="1">
      <alignment horizontal="center" vertical="center" wrapText="1"/>
    </xf>
    <xf numFmtId="0" fontId="47" fillId="0" borderId="24" xfId="2" applyFont="1" applyBorder="1" applyAlignment="1">
      <alignment horizontal="center" vertical="center" wrapText="1"/>
    </xf>
    <xf numFmtId="0" fontId="47" fillId="0" borderId="19" xfId="2" applyFont="1" applyBorder="1" applyAlignment="1">
      <alignment horizontal="center" vertical="center" wrapText="1"/>
    </xf>
    <xf numFmtId="0" fontId="47" fillId="0" borderId="30" xfId="2" applyFont="1" applyBorder="1" applyAlignment="1">
      <alignment horizontal="center" vertical="center" wrapText="1"/>
    </xf>
    <xf numFmtId="0" fontId="47" fillId="0" borderId="20" xfId="2" applyFont="1" applyBorder="1" applyAlignment="1">
      <alignment horizontal="center" vertical="center" wrapText="1"/>
    </xf>
    <xf numFmtId="0" fontId="47" fillId="0" borderId="13" xfId="2" applyFont="1" applyBorder="1" applyAlignment="1">
      <alignment horizontal="center" vertical="center" wrapText="1"/>
    </xf>
    <xf numFmtId="38" fontId="46" fillId="0" borderId="47" xfId="2" applyNumberFormat="1" applyFont="1" applyBorder="1" applyAlignment="1">
      <alignment horizontal="center"/>
    </xf>
    <xf numFmtId="0" fontId="46" fillId="0" borderId="48" xfId="2" applyFont="1" applyBorder="1" applyAlignment="1">
      <alignment horizontal="center"/>
    </xf>
    <xf numFmtId="0" fontId="46" fillId="0" borderId="49" xfId="2" applyFont="1" applyBorder="1" applyAlignment="1">
      <alignment horizontal="center"/>
    </xf>
    <xf numFmtId="0" fontId="46" fillId="0" borderId="47" xfId="2" applyFont="1" applyBorder="1" applyAlignment="1">
      <alignment horizontal="center"/>
    </xf>
    <xf numFmtId="38" fontId="46" fillId="0" borderId="47" xfId="0" applyNumberFormat="1" applyFont="1" applyBorder="1" applyAlignment="1">
      <alignment horizontal="center"/>
    </xf>
    <xf numFmtId="0" fontId="46" fillId="0" borderId="48" xfId="0" applyFont="1" applyBorder="1" applyAlignment="1">
      <alignment horizontal="center"/>
    </xf>
    <xf numFmtId="0" fontId="46" fillId="0" borderId="49" xfId="0" applyFont="1" applyBorder="1" applyAlignment="1">
      <alignment horizontal="center"/>
    </xf>
    <xf numFmtId="0" fontId="46" fillId="0" borderId="47" xfId="0" applyFont="1" applyBorder="1" applyAlignment="1">
      <alignment horizontal="center"/>
    </xf>
    <xf numFmtId="0" fontId="47" fillId="0" borderId="47" xfId="0" applyFont="1" applyBorder="1" applyAlignment="1">
      <alignment horizontal="center"/>
    </xf>
    <xf numFmtId="0" fontId="47" fillId="0" borderId="48" xfId="0" applyFont="1" applyBorder="1" applyAlignment="1">
      <alignment horizontal="center"/>
    </xf>
    <xf numFmtId="0" fontId="47" fillId="0" borderId="49" xfId="0" applyFont="1" applyBorder="1" applyAlignment="1">
      <alignment horizontal="center"/>
    </xf>
    <xf numFmtId="10" fontId="46" fillId="10" borderId="25" xfId="0" applyNumberFormat="1" applyFont="1" applyFill="1" applyBorder="1" applyAlignment="1">
      <alignment horizontal="center" vertical="center" textRotation="90" wrapText="1"/>
    </xf>
    <xf numFmtId="0" fontId="7" fillId="10" borderId="23" xfId="0" applyFont="1" applyFill="1" applyBorder="1" applyAlignment="1">
      <alignment horizontal="center" vertical="center" textRotation="90" wrapText="1"/>
    </xf>
    <xf numFmtId="0" fontId="7" fillId="10" borderId="18" xfId="0" applyFont="1" applyFill="1" applyBorder="1" applyAlignment="1">
      <alignment horizontal="center" vertical="center" textRotation="90" wrapText="1"/>
    </xf>
    <xf numFmtId="0" fontId="46" fillId="0" borderId="43" xfId="0" applyFont="1" applyBorder="1" applyAlignment="1">
      <alignment horizontal="justify"/>
    </xf>
    <xf numFmtId="0" fontId="46" fillId="0" borderId="33" xfId="0" applyFont="1" applyBorder="1"/>
    <xf numFmtId="165" fontId="46" fillId="0" borderId="42" xfId="0" applyNumberFormat="1" applyFont="1" applyBorder="1" applyAlignment="1">
      <alignment horizontal="right" wrapText="1"/>
    </xf>
    <xf numFmtId="0" fontId="46" fillId="0" borderId="42" xfId="0" applyFont="1" applyBorder="1" applyAlignment="1">
      <alignment horizontal="right" wrapText="1"/>
    </xf>
    <xf numFmtId="0" fontId="47" fillId="0" borderId="25" xfId="0" applyFont="1" applyBorder="1" applyAlignment="1">
      <alignment horizontal="center" vertical="center" wrapText="1"/>
    </xf>
    <xf numFmtId="0" fontId="47" fillId="0" borderId="23" xfId="0" applyFont="1" applyBorder="1" applyAlignment="1">
      <alignment horizontal="center" vertical="center" wrapText="1"/>
    </xf>
    <xf numFmtId="0" fontId="47" fillId="0" borderId="18" xfId="0" applyFont="1" applyBorder="1" applyAlignment="1">
      <alignment horizontal="center" vertical="center" wrapText="1"/>
    </xf>
    <xf numFmtId="0" fontId="47" fillId="0" borderId="12" xfId="0" applyFont="1" applyBorder="1" applyAlignment="1">
      <alignment horizontal="center" vertical="center" wrapText="1"/>
    </xf>
    <xf numFmtId="43" fontId="7" fillId="0" borderId="12" xfId="0" applyNumberFormat="1" applyFont="1" applyBorder="1" applyAlignment="1">
      <alignment wrapText="1"/>
    </xf>
    <xf numFmtId="0" fontId="0" fillId="0" borderId="12" xfId="0" applyBorder="1"/>
    <xf numFmtId="0" fontId="46" fillId="0" borderId="25" xfId="0" applyFont="1" applyBorder="1" applyAlignment="1">
      <alignment wrapText="1"/>
    </xf>
    <xf numFmtId="0" fontId="7" fillId="0" borderId="25" xfId="0" applyFont="1" applyBorder="1" applyAlignment="1">
      <alignment wrapText="1"/>
    </xf>
    <xf numFmtId="10" fontId="46" fillId="0" borderId="25" xfId="0" applyNumberFormat="1" applyFont="1" applyBorder="1" applyAlignment="1">
      <alignment horizontal="center" vertical="center" textRotation="90" wrapText="1"/>
    </xf>
    <xf numFmtId="0" fontId="7" fillId="0" borderId="23" xfId="0" applyFont="1" applyBorder="1" applyAlignment="1">
      <alignment horizontal="center" vertical="center" textRotation="90" wrapText="1"/>
    </xf>
    <xf numFmtId="0" fontId="7" fillId="0" borderId="18" xfId="0" applyFont="1" applyBorder="1" applyAlignment="1">
      <alignment horizontal="center" vertical="center" textRotation="90" wrapText="1"/>
    </xf>
    <xf numFmtId="0" fontId="40" fillId="0" borderId="0" xfId="2" applyFont="1" applyAlignment="1">
      <alignment horizontal="left" wrapText="1"/>
    </xf>
    <xf numFmtId="0" fontId="7" fillId="0" borderId="0" xfId="0" applyFont="1" applyAlignment="1">
      <alignment wrapText="1"/>
    </xf>
    <xf numFmtId="0" fontId="47" fillId="0" borderId="27" xfId="0" applyFont="1" applyBorder="1" applyAlignment="1">
      <alignment horizontal="center"/>
    </xf>
    <xf numFmtId="0" fontId="47" fillId="0" borderId="24" xfId="0" applyFont="1" applyBorder="1" applyAlignment="1">
      <alignment horizontal="center"/>
    </xf>
    <xf numFmtId="38" fontId="46" fillId="0" borderId="0" xfId="0" applyNumberFormat="1" applyFont="1" applyAlignment="1">
      <alignment horizontal="center"/>
    </xf>
    <xf numFmtId="0" fontId="46" fillId="0" borderId="0" xfId="0" applyFont="1" applyAlignment="1">
      <alignment horizontal="center"/>
    </xf>
    <xf numFmtId="0" fontId="47" fillId="0" borderId="0" xfId="0" applyFont="1" applyAlignment="1">
      <alignment horizontal="center"/>
    </xf>
    <xf numFmtId="0" fontId="46" fillId="0" borderId="21" xfId="0" applyFont="1" applyBorder="1" applyAlignment="1">
      <alignment horizontal="left" vertical="top" wrapText="1"/>
    </xf>
    <xf numFmtId="0" fontId="41" fillId="0" borderId="26" xfId="0" applyFont="1" applyBorder="1" applyAlignment="1">
      <alignment wrapText="1"/>
    </xf>
    <xf numFmtId="0" fontId="40" fillId="0" borderId="26" xfId="0" applyFont="1" applyBorder="1" applyAlignment="1">
      <alignment wrapText="1"/>
    </xf>
    <xf numFmtId="0" fontId="41" fillId="0" borderId="24" xfId="0" applyFont="1" applyBorder="1" applyAlignment="1">
      <alignment horizontal="center" wrapText="1"/>
    </xf>
    <xf numFmtId="0" fontId="40" fillId="0" borderId="26" xfId="0" applyFont="1" applyBorder="1" applyAlignment="1">
      <alignment horizontal="left"/>
    </xf>
    <xf numFmtId="38" fontId="40" fillId="0" borderId="47" xfId="0" applyNumberFormat="1" applyFont="1" applyBorder="1" applyAlignment="1">
      <alignment horizontal="center"/>
    </xf>
    <xf numFmtId="0" fontId="40" fillId="0" borderId="48" xfId="0" applyFont="1" applyBorder="1" applyAlignment="1">
      <alignment horizontal="center"/>
    </xf>
    <xf numFmtId="0" fontId="40" fillId="0" borderId="49" xfId="0" applyFont="1" applyBorder="1" applyAlignment="1">
      <alignment horizontal="center"/>
    </xf>
    <xf numFmtId="0" fontId="40" fillId="0" borderId="47" xfId="0" applyFont="1" applyBorder="1" applyAlignment="1">
      <alignment horizontal="center"/>
    </xf>
    <xf numFmtId="0" fontId="40" fillId="0" borderId="24" xfId="0" applyFont="1" applyBorder="1" applyAlignment="1">
      <alignment wrapText="1"/>
    </xf>
    <xf numFmtId="0" fontId="41" fillId="0" borderId="43" xfId="0" applyFont="1" applyBorder="1" applyAlignment="1">
      <alignment wrapText="1"/>
    </xf>
    <xf numFmtId="0" fontId="41" fillId="0" borderId="33" xfId="0" applyFont="1" applyBorder="1" applyAlignment="1">
      <alignment wrapText="1"/>
    </xf>
    <xf numFmtId="0" fontId="41" fillId="0" borderId="47" xfId="0" applyFont="1" applyBorder="1" applyAlignment="1">
      <alignment horizontal="center"/>
    </xf>
    <xf numFmtId="0" fontId="41" fillId="0" borderId="48" xfId="0" applyFont="1" applyBorder="1" applyAlignment="1">
      <alignment horizontal="center"/>
    </xf>
    <xf numFmtId="0" fontId="41" fillId="0" borderId="49" xfId="0" applyFont="1" applyBorder="1" applyAlignment="1">
      <alignment horizontal="center"/>
    </xf>
    <xf numFmtId="0" fontId="6" fillId="0" borderId="26" xfId="0" applyFont="1" applyBorder="1" applyAlignment="1">
      <alignment horizontal="left"/>
    </xf>
    <xf numFmtId="0" fontId="7" fillId="7" borderId="24" xfId="0" applyFont="1" applyFill="1" applyBorder="1" applyAlignment="1">
      <alignment vertical="top" wrapText="1"/>
    </xf>
    <xf numFmtId="0" fontId="7" fillId="0" borderId="47" xfId="0" applyFont="1" applyBorder="1" applyAlignment="1">
      <alignment horizontal="center"/>
    </xf>
    <xf numFmtId="0" fontId="7" fillId="0" borderId="48" xfId="0" applyFont="1" applyBorder="1" applyAlignment="1">
      <alignment horizontal="center"/>
    </xf>
    <xf numFmtId="0" fontId="7" fillId="0" borderId="49" xfId="0" applyFont="1" applyBorder="1" applyAlignment="1">
      <alignment horizontal="center"/>
    </xf>
    <xf numFmtId="38" fontId="7" fillId="0" borderId="47" xfId="0" applyNumberFormat="1" applyFont="1" applyBorder="1" applyAlignment="1">
      <alignment horizontal="center"/>
    </xf>
    <xf numFmtId="0" fontId="6" fillId="0" borderId="47" xfId="0" applyFont="1" applyBorder="1" applyAlignment="1">
      <alignment horizontal="center"/>
    </xf>
    <xf numFmtId="0" fontId="6" fillId="0" borderId="48" xfId="0" applyFont="1" applyBorder="1" applyAlignment="1">
      <alignment horizontal="center"/>
    </xf>
    <xf numFmtId="0" fontId="6" fillId="0" borderId="49" xfId="0" applyFont="1" applyBorder="1" applyAlignment="1">
      <alignment horizontal="center"/>
    </xf>
    <xf numFmtId="0" fontId="6" fillId="7" borderId="30"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7" borderId="25" xfId="0" applyFont="1" applyFill="1" applyBorder="1" applyAlignment="1">
      <alignment horizontal="center" vertical="center" wrapText="1"/>
    </xf>
    <xf numFmtId="0" fontId="6" fillId="7" borderId="18" xfId="0" applyFont="1" applyFill="1" applyBorder="1" applyAlignment="1">
      <alignment horizontal="center" vertical="center" wrapText="1"/>
    </xf>
    <xf numFmtId="0" fontId="7" fillId="7" borderId="30" xfId="0" applyFont="1" applyFill="1" applyBorder="1" applyAlignment="1">
      <alignment horizontal="left" vertical="top" wrapText="1"/>
    </xf>
    <xf numFmtId="0" fontId="7" fillId="7" borderId="13" xfId="0" applyFont="1" applyFill="1" applyBorder="1" applyAlignment="1">
      <alignment horizontal="left" vertical="top" wrapText="1"/>
    </xf>
    <xf numFmtId="0" fontId="0" fillId="0" borderId="20" xfId="0" applyBorder="1"/>
    <xf numFmtId="0" fontId="0" fillId="0" borderId="13" xfId="0" applyBorder="1"/>
    <xf numFmtId="0" fontId="0" fillId="0" borderId="30" xfId="0" applyBorder="1"/>
    <xf numFmtId="0" fontId="46" fillId="0" borderId="9" xfId="0" applyFont="1" applyBorder="1" applyAlignment="1">
      <alignment horizontal="left" vertical="center"/>
    </xf>
    <xf numFmtId="0" fontId="46" fillId="8" borderId="24" xfId="0" applyFont="1" applyFill="1" applyBorder="1" applyAlignment="1">
      <alignment horizontal="center" vertical="center" wrapText="1"/>
    </xf>
    <xf numFmtId="0" fontId="47" fillId="8" borderId="12" xfId="0" applyFont="1" applyFill="1" applyBorder="1" applyAlignment="1">
      <alignment horizontal="center" vertical="center" wrapText="1"/>
    </xf>
    <xf numFmtId="0" fontId="47" fillId="8" borderId="12" xfId="0" applyFont="1" applyFill="1" applyBorder="1" applyAlignment="1">
      <alignment horizontal="center" wrapText="1"/>
    </xf>
    <xf numFmtId="8" fontId="46" fillId="0" borderId="9" xfId="0" applyNumberFormat="1" applyFont="1" applyBorder="1" applyAlignment="1">
      <alignment horizontal="right"/>
    </xf>
    <xf numFmtId="0" fontId="47" fillId="8" borderId="9" xfId="0" applyFont="1" applyFill="1" applyBorder="1" applyAlignment="1">
      <alignment horizontal="center" vertical="center"/>
    </xf>
    <xf numFmtId="0" fontId="47" fillId="7" borderId="53" xfId="0" applyFont="1" applyFill="1" applyBorder="1" applyAlignment="1">
      <alignment horizontal="center" vertical="center" wrapText="1"/>
    </xf>
    <xf numFmtId="0" fontId="47" fillId="7" borderId="21" xfId="0" applyFont="1" applyFill="1" applyBorder="1" applyAlignment="1">
      <alignment horizontal="center" vertical="center" wrapText="1"/>
    </xf>
    <xf numFmtId="0" fontId="47" fillId="8" borderId="0" xfId="0" applyFont="1" applyFill="1" applyAlignment="1">
      <alignment horizontal="center" vertical="center" wrapText="1"/>
    </xf>
    <xf numFmtId="0" fontId="47" fillId="8" borderId="28" xfId="0" applyFont="1" applyFill="1" applyBorder="1" applyAlignment="1">
      <alignment horizontal="center" vertical="center"/>
    </xf>
    <xf numFmtId="0" fontId="47" fillId="8" borderId="26" xfId="0" applyFont="1" applyFill="1" applyBorder="1" applyAlignment="1">
      <alignment horizontal="center" vertical="center"/>
    </xf>
    <xf numFmtId="0" fontId="47" fillId="8" borderId="26" xfId="0" applyFont="1" applyFill="1" applyBorder="1" applyAlignment="1">
      <alignment horizontal="center" vertical="center" wrapText="1"/>
    </xf>
    <xf numFmtId="0" fontId="47" fillId="8" borderId="28" xfId="0" applyFont="1" applyFill="1" applyBorder="1" applyAlignment="1">
      <alignment horizontal="center" vertical="center" wrapText="1"/>
    </xf>
    <xf numFmtId="0" fontId="46" fillId="0" borderId="21" xfId="0" applyFont="1" applyBorder="1" applyAlignment="1">
      <alignment horizontal="center" vertical="top" wrapText="1"/>
    </xf>
    <xf numFmtId="0" fontId="46" fillId="0" borderId="13" xfId="0" applyFont="1" applyBorder="1" applyAlignment="1">
      <alignment horizontal="center" vertical="top" wrapText="1"/>
    </xf>
    <xf numFmtId="0" fontId="46" fillId="0" borderId="28" xfId="0" applyFont="1" applyBorder="1" applyAlignment="1">
      <alignment horizontal="center" vertical="top" wrapText="1"/>
    </xf>
    <xf numFmtId="0" fontId="0" fillId="0" borderId="30" xfId="0" applyBorder="1" applyAlignment="1">
      <alignment vertical="top" wrapText="1"/>
    </xf>
    <xf numFmtId="0" fontId="46" fillId="0" borderId="22" xfId="0" applyFont="1" applyBorder="1" applyAlignment="1">
      <alignment horizontal="center" vertical="top" wrapText="1"/>
    </xf>
    <xf numFmtId="0" fontId="0" fillId="0" borderId="20" xfId="0" applyBorder="1" applyAlignment="1">
      <alignment vertical="top" wrapText="1"/>
    </xf>
    <xf numFmtId="0" fontId="46" fillId="0" borderId="29" xfId="0" applyFont="1" applyBorder="1" applyAlignment="1">
      <alignment horizontal="center" vertical="top" wrapText="1"/>
    </xf>
    <xf numFmtId="0" fontId="0" fillId="0" borderId="13" xfId="0" applyBorder="1" applyAlignment="1">
      <alignment vertical="top" wrapText="1"/>
    </xf>
    <xf numFmtId="0" fontId="46" fillId="0" borderId="29" xfId="0" applyFont="1" applyBorder="1" applyAlignment="1">
      <alignment wrapText="1"/>
    </xf>
    <xf numFmtId="0" fontId="0" fillId="0" borderId="13" xfId="0" applyBorder="1" applyAlignment="1">
      <alignment wrapText="1"/>
    </xf>
    <xf numFmtId="0" fontId="47" fillId="8" borderId="24" xfId="0" applyFont="1" applyFill="1" applyBorder="1" applyAlignment="1">
      <alignment horizontal="center" vertical="center"/>
    </xf>
    <xf numFmtId="37" fontId="46" fillId="8" borderId="27" xfId="0" applyNumberFormat="1" applyFont="1" applyFill="1" applyBorder="1" applyAlignment="1">
      <alignment horizontal="center" vertical="center"/>
    </xf>
    <xf numFmtId="37" fontId="46" fillId="8" borderId="24" xfId="0" applyNumberFormat="1" applyFont="1" applyFill="1" applyBorder="1" applyAlignment="1">
      <alignment horizontal="center" vertical="center"/>
    </xf>
    <xf numFmtId="37" fontId="47" fillId="8" borderId="27" xfId="0" applyNumberFormat="1" applyFont="1" applyFill="1" applyBorder="1" applyAlignment="1">
      <alignment horizontal="center"/>
    </xf>
    <xf numFmtId="37" fontId="47" fillId="8" borderId="24" xfId="0" applyNumberFormat="1" applyFont="1" applyFill="1" applyBorder="1" applyAlignment="1">
      <alignment horizontal="center"/>
    </xf>
    <xf numFmtId="0" fontId="46" fillId="0" borderId="0" xfId="2" applyFont="1" applyAlignment="1">
      <alignment horizontal="left" wrapText="1"/>
    </xf>
    <xf numFmtId="165" fontId="47" fillId="15" borderId="27" xfId="2" applyNumberFormat="1" applyFont="1" applyFill="1" applyBorder="1" applyAlignment="1">
      <alignment horizontal="center" vertical="center"/>
    </xf>
    <xf numFmtId="165" fontId="47" fillId="15" borderId="24" xfId="2" applyNumberFormat="1" applyFont="1" applyFill="1" applyBorder="1" applyAlignment="1">
      <alignment horizontal="center" vertical="center"/>
    </xf>
    <xf numFmtId="0" fontId="47" fillId="8" borderId="13" xfId="0" applyFont="1" applyFill="1" applyBorder="1" applyAlignment="1">
      <alignment horizontal="center" vertical="center"/>
    </xf>
    <xf numFmtId="0" fontId="47" fillId="8" borderId="29" xfId="0" applyFont="1" applyFill="1" applyBorder="1" applyAlignment="1">
      <alignment horizontal="center" vertical="center" wrapText="1"/>
    </xf>
    <xf numFmtId="0" fontId="47" fillId="8" borderId="21" xfId="0" applyFont="1" applyFill="1" applyBorder="1" applyAlignment="1">
      <alignment horizontal="center" vertical="center" wrapText="1"/>
    </xf>
    <xf numFmtId="0" fontId="46" fillId="0" borderId="0" xfId="0" applyFont="1" applyAlignment="1">
      <alignment horizontal="left" vertical="center" wrapText="1"/>
    </xf>
    <xf numFmtId="0" fontId="47" fillId="8" borderId="57" xfId="0" applyFont="1" applyFill="1" applyBorder="1" applyAlignment="1">
      <alignment horizontal="center" vertical="center"/>
    </xf>
    <xf numFmtId="0" fontId="47" fillId="7" borderId="53" xfId="0" applyFont="1" applyFill="1" applyBorder="1" applyAlignment="1">
      <alignment horizontal="center" vertical="center"/>
    </xf>
    <xf numFmtId="0" fontId="47" fillId="7" borderId="0" xfId="0" applyFont="1" applyFill="1" applyAlignment="1">
      <alignment horizontal="center" vertical="center"/>
    </xf>
    <xf numFmtId="0" fontId="0" fillId="0" borderId="19" xfId="0" applyBorder="1" applyAlignment="1">
      <alignment wrapText="1"/>
    </xf>
    <xf numFmtId="0" fontId="46" fillId="0" borderId="26" xfId="0" applyFont="1" applyBorder="1" applyAlignment="1">
      <alignment horizontal="right" vertical="top" wrapText="1"/>
    </xf>
    <xf numFmtId="0" fontId="46" fillId="0" borderId="0" xfId="0" applyFont="1" applyAlignment="1">
      <alignment horizontal="right" vertical="top" wrapText="1"/>
    </xf>
    <xf numFmtId="0" fontId="46" fillId="0" borderId="21" xfId="0" applyFont="1" applyBorder="1" applyAlignment="1">
      <alignment horizontal="right" vertical="top" wrapText="1"/>
    </xf>
    <xf numFmtId="0" fontId="46" fillId="0" borderId="27" xfId="0" applyFont="1" applyBorder="1" applyAlignment="1">
      <alignment horizontal="center" vertical="top" wrapText="1"/>
    </xf>
    <xf numFmtId="0" fontId="0" fillId="0" borderId="19" xfId="0" applyBorder="1" applyAlignment="1">
      <alignment horizontal="center" vertical="top" wrapText="1"/>
    </xf>
    <xf numFmtId="0" fontId="46" fillId="0" borderId="12" xfId="0" applyFont="1" applyBorder="1" applyAlignment="1">
      <alignment horizontal="left" wrapText="1"/>
    </xf>
    <xf numFmtId="0" fontId="46" fillId="0" borderId="30"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13" xfId="0" applyFont="1" applyBorder="1" applyAlignment="1">
      <alignment horizontal="center" vertical="center" wrapText="1"/>
    </xf>
    <xf numFmtId="0" fontId="46" fillId="0" borderId="28" xfId="0" applyFont="1" applyBorder="1" applyAlignment="1">
      <alignment horizontal="center" vertical="center" wrapText="1"/>
    </xf>
    <xf numFmtId="0" fontId="46" fillId="0" borderId="22" xfId="0" applyFont="1" applyBorder="1" applyAlignment="1">
      <alignment horizontal="center" vertical="center" wrapText="1"/>
    </xf>
    <xf numFmtId="0" fontId="46" fillId="0" borderId="29" xfId="0" applyFont="1" applyBorder="1" applyAlignment="1">
      <alignment horizontal="center" vertical="center" wrapText="1"/>
    </xf>
    <xf numFmtId="0" fontId="46" fillId="0" borderId="25" xfId="0" applyFont="1" applyBorder="1" applyAlignment="1">
      <alignment horizontal="center" vertical="center" wrapText="1"/>
    </xf>
    <xf numFmtId="0" fontId="46" fillId="0" borderId="23" xfId="0" applyFont="1" applyBorder="1" applyAlignment="1">
      <alignment horizontal="center" vertical="center" wrapText="1"/>
    </xf>
    <xf numFmtId="0" fontId="46" fillId="0" borderId="18" xfId="0" applyFont="1" applyBorder="1" applyAlignment="1">
      <alignment horizontal="center" vertical="center" wrapText="1"/>
    </xf>
    <xf numFmtId="0" fontId="46" fillId="0" borderId="26" xfId="0" applyFont="1" applyBorder="1" applyAlignment="1">
      <alignment horizontal="center" vertical="center" wrapText="1"/>
    </xf>
    <xf numFmtId="0" fontId="46" fillId="0" borderId="21" xfId="0" applyFont="1" applyBorder="1" applyAlignment="1">
      <alignment horizontal="center" vertical="center" wrapText="1"/>
    </xf>
    <xf numFmtId="0" fontId="46" fillId="0" borderId="25" xfId="0" applyFont="1" applyBorder="1" applyAlignment="1">
      <alignment horizontal="center" wrapText="1"/>
    </xf>
    <xf numFmtId="0" fontId="46" fillId="0" borderId="23" xfId="0" applyFont="1" applyBorder="1" applyAlignment="1">
      <alignment horizontal="center" wrapText="1"/>
    </xf>
    <xf numFmtId="0" fontId="47" fillId="0" borderId="26" xfId="0" applyFont="1" applyBorder="1" applyAlignment="1">
      <alignment horizontal="left"/>
    </xf>
    <xf numFmtId="0" fontId="46" fillId="0" borderId="26" xfId="0" applyFont="1" applyBorder="1" applyAlignment="1">
      <alignment horizontal="left"/>
    </xf>
    <xf numFmtId="0" fontId="47" fillId="0" borderId="0" xfId="0" applyFont="1" applyAlignment="1">
      <alignment horizontal="center" wrapText="1"/>
    </xf>
    <xf numFmtId="0" fontId="46" fillId="0" borderId="0" xfId="0" applyFont="1" applyAlignment="1">
      <alignment horizontal="center" wrapText="1"/>
    </xf>
    <xf numFmtId="0" fontId="46" fillId="0" borderId="0" xfId="0" applyFont="1" applyAlignment="1">
      <alignment horizontal="justify" wrapText="1"/>
    </xf>
    <xf numFmtId="38" fontId="46" fillId="0" borderId="0" xfId="0" applyNumberFormat="1" applyFont="1" applyAlignment="1">
      <alignment horizontal="center" wrapText="1"/>
    </xf>
    <xf numFmtId="165" fontId="46" fillId="0" borderId="0" xfId="0" applyNumberFormat="1" applyFont="1" applyAlignment="1">
      <alignment horizontal="right" wrapText="1"/>
    </xf>
    <xf numFmtId="0" fontId="47" fillId="0" borderId="18" xfId="0" applyFont="1" applyBorder="1" applyAlignment="1">
      <alignment horizontal="center" wrapText="1"/>
    </xf>
    <xf numFmtId="0" fontId="47" fillId="0" borderId="12" xfId="0" applyFont="1" applyBorder="1" applyAlignment="1">
      <alignment horizontal="center" wrapText="1"/>
    </xf>
    <xf numFmtId="0" fontId="46" fillId="0" borderId="24" xfId="0" applyFont="1" applyBorder="1" applyAlignment="1">
      <alignment horizontal="center" wrapText="1"/>
    </xf>
    <xf numFmtId="0" fontId="46" fillId="0" borderId="19" xfId="0" applyFont="1" applyBorder="1" applyAlignment="1">
      <alignment horizontal="center" wrapText="1"/>
    </xf>
    <xf numFmtId="0" fontId="46" fillId="0" borderId="12" xfId="0" applyFont="1" applyBorder="1" applyAlignment="1">
      <alignment horizontal="center" wrapText="1"/>
    </xf>
    <xf numFmtId="0" fontId="46" fillId="0" borderId="60" xfId="0" applyFont="1" applyBorder="1" applyAlignment="1">
      <alignment wrapText="1"/>
    </xf>
    <xf numFmtId="0" fontId="46" fillId="0" borderId="61" xfId="0" applyFont="1" applyBorder="1" applyAlignment="1">
      <alignment wrapText="1"/>
    </xf>
    <xf numFmtId="43" fontId="46" fillId="0" borderId="27" xfId="0" applyNumberFormat="1" applyFont="1" applyBorder="1" applyAlignment="1">
      <alignment horizontal="right" wrapText="1"/>
    </xf>
    <xf numFmtId="43" fontId="46" fillId="0" borderId="24" xfId="0" applyNumberFormat="1" applyFont="1" applyBorder="1" applyAlignment="1">
      <alignment horizontal="right" wrapText="1"/>
    </xf>
    <xf numFmtId="43" fontId="46" fillId="0" borderId="19" xfId="0" applyNumberFormat="1" applyFont="1" applyBorder="1" applyAlignment="1">
      <alignment horizontal="right" wrapText="1"/>
    </xf>
    <xf numFmtId="43" fontId="46" fillId="10" borderId="12" xfId="0" applyNumberFormat="1" applyFont="1" applyFill="1" applyBorder="1" applyAlignment="1">
      <alignment horizontal="right" wrapText="1"/>
    </xf>
    <xf numFmtId="0" fontId="47" fillId="10" borderId="60" xfId="0" applyFont="1" applyFill="1" applyBorder="1" applyAlignment="1">
      <alignment horizontal="center" wrapText="1"/>
    </xf>
    <xf numFmtId="0" fontId="47" fillId="10" borderId="57" xfId="0" applyFont="1" applyFill="1" applyBorder="1" applyAlignment="1">
      <alignment horizontal="center" wrapText="1"/>
    </xf>
    <xf numFmtId="0" fontId="47" fillId="0" borderId="60" xfId="0" applyFont="1" applyBorder="1" applyAlignment="1">
      <alignment horizontal="center" wrapText="1"/>
    </xf>
    <xf numFmtId="0" fontId="47" fillId="0" borderId="57" xfId="0" applyFont="1" applyBorder="1" applyAlignment="1">
      <alignment horizontal="center" wrapText="1"/>
    </xf>
    <xf numFmtId="0" fontId="47" fillId="0" borderId="61" xfId="0" applyFont="1" applyBorder="1" applyAlignment="1">
      <alignment horizontal="center" wrapText="1"/>
    </xf>
    <xf numFmtId="0" fontId="46" fillId="7" borderId="60" xfId="0" applyFont="1" applyFill="1" applyBorder="1" applyAlignment="1">
      <alignment wrapText="1"/>
    </xf>
    <xf numFmtId="0" fontId="46" fillId="7" borderId="61" xfId="0" applyFont="1" applyFill="1" applyBorder="1" applyAlignment="1">
      <alignment wrapText="1"/>
    </xf>
    <xf numFmtId="38" fontId="47" fillId="0" borderId="55" xfId="0" applyNumberFormat="1" applyFont="1" applyBorder="1" applyAlignment="1">
      <alignment horizontal="center" wrapText="1"/>
    </xf>
    <xf numFmtId="0" fontId="46" fillId="0" borderId="54" xfId="0" applyFont="1" applyBorder="1" applyAlignment="1">
      <alignment horizontal="center" wrapText="1"/>
    </xf>
    <xf numFmtId="0" fontId="46" fillId="0" borderId="11" xfId="0" applyFont="1" applyBorder="1" applyAlignment="1">
      <alignment horizontal="center" wrapText="1"/>
    </xf>
    <xf numFmtId="0" fontId="46" fillId="0" borderId="8" xfId="0" applyFont="1" applyBorder="1" applyAlignment="1">
      <alignment horizontal="center" wrapText="1"/>
    </xf>
    <xf numFmtId="0" fontId="46" fillId="0" borderId="9" xfId="0" applyFont="1" applyBorder="1" applyAlignment="1">
      <alignment horizontal="center" wrapText="1"/>
    </xf>
    <xf numFmtId="0" fontId="46" fillId="0" borderId="10" xfId="0" applyFont="1" applyBorder="1" applyAlignment="1">
      <alignment horizontal="center" wrapText="1"/>
    </xf>
    <xf numFmtId="0" fontId="47" fillId="0" borderId="55" xfId="0" applyFont="1" applyBorder="1" applyAlignment="1">
      <alignment horizontal="center" wrapText="1"/>
    </xf>
    <xf numFmtId="0" fontId="47" fillId="0" borderId="54" xfId="0" applyFont="1" applyBorder="1" applyAlignment="1">
      <alignment horizontal="center" wrapText="1"/>
    </xf>
    <xf numFmtId="0" fontId="47" fillId="0" borderId="11" xfId="0" applyFont="1" applyBorder="1" applyAlignment="1">
      <alignment horizontal="center" wrapText="1"/>
    </xf>
    <xf numFmtId="0" fontId="47" fillId="0" borderId="6" xfId="0" applyFont="1" applyBorder="1" applyAlignment="1">
      <alignment horizontal="center" wrapText="1"/>
    </xf>
    <xf numFmtId="0" fontId="47" fillId="0" borderId="7" xfId="0" applyFont="1" applyBorder="1" applyAlignment="1">
      <alignment horizontal="center" wrapText="1"/>
    </xf>
    <xf numFmtId="0" fontId="47" fillId="0" borderId="8" xfId="0" applyFont="1" applyBorder="1" applyAlignment="1">
      <alignment horizontal="center" wrapText="1"/>
    </xf>
    <xf numFmtId="0" fontId="47" fillId="0" borderId="9" xfId="0" applyFont="1" applyBorder="1" applyAlignment="1">
      <alignment horizontal="center" wrapText="1"/>
    </xf>
    <xf numFmtId="0" fontId="47" fillId="0" borderId="10" xfId="0" applyFont="1" applyBorder="1" applyAlignment="1">
      <alignment horizontal="center" wrapText="1"/>
    </xf>
    <xf numFmtId="43" fontId="46" fillId="7" borderId="27" xfId="0" applyNumberFormat="1" applyFont="1" applyFill="1" applyBorder="1" applyAlignment="1">
      <alignment horizontal="right" wrapText="1"/>
    </xf>
    <xf numFmtId="43" fontId="46" fillId="7" borderId="24" xfId="0" applyNumberFormat="1" applyFont="1" applyFill="1" applyBorder="1" applyAlignment="1">
      <alignment horizontal="right" wrapText="1"/>
    </xf>
    <xf numFmtId="43" fontId="46" fillId="7" borderId="19" xfId="0" applyNumberFormat="1" applyFont="1" applyFill="1" applyBorder="1" applyAlignment="1">
      <alignment horizontal="right" wrapText="1"/>
    </xf>
    <xf numFmtId="0" fontId="47" fillId="10" borderId="58" xfId="0" applyFont="1" applyFill="1" applyBorder="1" applyAlignment="1">
      <alignment horizontal="center" wrapText="1"/>
    </xf>
    <xf numFmtId="0" fontId="47" fillId="10" borderId="62" xfId="0" applyFont="1" applyFill="1" applyBorder="1" applyAlignment="1">
      <alignment horizontal="center" wrapText="1"/>
    </xf>
    <xf numFmtId="0" fontId="47" fillId="10" borderId="59" xfId="0" applyFont="1" applyFill="1" applyBorder="1" applyAlignment="1">
      <alignment horizontal="center" wrapText="1"/>
    </xf>
    <xf numFmtId="0" fontId="46" fillId="0" borderId="60" xfId="0" applyFont="1" applyBorder="1" applyAlignment="1">
      <alignment horizontal="center" wrapText="1"/>
    </xf>
    <xf numFmtId="0" fontId="46" fillId="0" borderId="57" xfId="0" applyFont="1" applyBorder="1" applyAlignment="1">
      <alignment horizontal="center" wrapText="1"/>
    </xf>
    <xf numFmtId="0" fontId="46" fillId="0" borderId="61" xfId="0" applyFont="1" applyBorder="1" applyAlignment="1">
      <alignment horizontal="center" wrapText="1"/>
    </xf>
    <xf numFmtId="43" fontId="46" fillId="7" borderId="27" xfId="0" applyNumberFormat="1" applyFont="1" applyFill="1" applyBorder="1" applyAlignment="1">
      <alignment horizontal="center" wrapText="1"/>
    </xf>
    <xf numFmtId="43" fontId="46" fillId="7" borderId="24" xfId="0" applyNumberFormat="1" applyFont="1" applyFill="1" applyBorder="1" applyAlignment="1">
      <alignment horizontal="center" wrapText="1"/>
    </xf>
    <xf numFmtId="43" fontId="46" fillId="7" borderId="19" xfId="0" applyNumberFormat="1" applyFont="1" applyFill="1" applyBorder="1" applyAlignment="1">
      <alignment horizontal="center" wrapText="1"/>
    </xf>
    <xf numFmtId="0" fontId="47" fillId="10" borderId="55" xfId="0" applyFont="1" applyFill="1" applyBorder="1" applyAlignment="1">
      <alignment horizontal="center" wrapText="1"/>
    </xf>
    <xf numFmtId="0" fontId="47" fillId="10" borderId="54" xfId="0" applyFont="1" applyFill="1" applyBorder="1" applyAlignment="1">
      <alignment horizontal="center" wrapText="1"/>
    </xf>
    <xf numFmtId="0" fontId="47" fillId="10" borderId="11" xfId="0" applyFont="1" applyFill="1" applyBorder="1" applyAlignment="1">
      <alignment horizontal="center" wrapText="1"/>
    </xf>
    <xf numFmtId="0" fontId="47" fillId="10" borderId="6" xfId="0" applyFont="1" applyFill="1" applyBorder="1" applyAlignment="1">
      <alignment horizontal="center" wrapText="1"/>
    </xf>
    <xf numFmtId="0" fontId="47" fillId="10" borderId="0" xfId="0" applyFont="1" applyFill="1" applyAlignment="1">
      <alignment horizontal="center" wrapText="1"/>
    </xf>
    <xf numFmtId="0" fontId="47" fillId="10" borderId="7" xfId="0" applyFont="1" applyFill="1" applyBorder="1" applyAlignment="1">
      <alignment horizontal="center" wrapText="1"/>
    </xf>
    <xf numFmtId="0" fontId="47" fillId="10" borderId="8" xfId="0" applyFont="1" applyFill="1" applyBorder="1" applyAlignment="1">
      <alignment horizontal="center" wrapText="1"/>
    </xf>
    <xf numFmtId="0" fontId="47" fillId="10" borderId="10" xfId="0" applyFont="1" applyFill="1" applyBorder="1" applyAlignment="1">
      <alignment horizontal="center" wrapText="1"/>
    </xf>
    <xf numFmtId="43" fontId="7" fillId="0" borderId="23" xfId="0" applyNumberFormat="1" applyFont="1" applyFill="1" applyBorder="1" applyAlignment="1" applyProtection="1">
      <alignment vertical="top" wrapText="1"/>
      <protection locked="0"/>
    </xf>
    <xf numFmtId="164" fontId="7" fillId="0" borderId="13" xfId="0" applyNumberFormat="1" applyFont="1" applyFill="1" applyBorder="1" applyAlignment="1">
      <alignment vertical="top" wrapText="1"/>
    </xf>
    <xf numFmtId="164" fontId="7" fillId="0" borderId="20" xfId="0" applyNumberFormat="1" applyFont="1" applyFill="1" applyBorder="1" applyAlignment="1" applyProtection="1">
      <alignment vertical="top" wrapText="1"/>
      <protection locked="0"/>
    </xf>
    <xf numFmtId="164" fontId="46" fillId="0" borderId="23" xfId="5" applyFont="1" applyBorder="1" applyAlignment="1">
      <alignment wrapText="1"/>
    </xf>
    <xf numFmtId="164" fontId="46" fillId="0" borderId="23" xfId="0" applyNumberFormat="1" applyFont="1" applyBorder="1" applyAlignment="1">
      <alignment wrapText="1"/>
    </xf>
    <xf numFmtId="43" fontId="46" fillId="0" borderId="46" xfId="0" applyNumberFormat="1" applyFont="1" applyBorder="1" applyAlignment="1">
      <alignment horizontal="center"/>
    </xf>
    <xf numFmtId="1" fontId="47" fillId="8" borderId="12" xfId="0" applyNumberFormat="1" applyFont="1" applyFill="1" applyBorder="1" applyAlignment="1">
      <alignment horizontal="center" vertical="center" wrapText="1"/>
    </xf>
    <xf numFmtId="164" fontId="46" fillId="0" borderId="23" xfId="5" applyFont="1" applyBorder="1" applyAlignment="1">
      <alignment horizontal="center" vertical="center"/>
    </xf>
    <xf numFmtId="164" fontId="46" fillId="8" borderId="18" xfId="5" applyFont="1" applyFill="1" applyBorder="1" applyAlignment="1">
      <alignment vertical="center" wrapText="1"/>
    </xf>
    <xf numFmtId="164" fontId="46" fillId="0" borderId="12" xfId="5" applyFont="1" applyBorder="1" applyAlignment="1">
      <alignment vertical="top" wrapText="1"/>
    </xf>
    <xf numFmtId="164" fontId="46" fillId="0" borderId="25" xfId="5" applyFont="1" applyBorder="1" applyAlignment="1">
      <alignment wrapText="1"/>
    </xf>
    <xf numFmtId="164" fontId="47" fillId="8" borderId="27" xfId="5" applyFont="1" applyFill="1" applyBorder="1" applyAlignment="1">
      <alignment horizontal="center" vertical="center"/>
    </xf>
    <xf numFmtId="164" fontId="46" fillId="0" borderId="28" xfId="5" applyFont="1" applyBorder="1" applyAlignment="1">
      <alignment horizontal="right" vertical="top" wrapText="1"/>
    </xf>
    <xf numFmtId="164" fontId="47" fillId="0" borderId="28" xfId="5" applyFont="1" applyBorder="1" applyAlignment="1">
      <alignment horizontal="center" vertical="center"/>
    </xf>
    <xf numFmtId="164" fontId="47" fillId="8" borderId="27" xfId="0" applyNumberFormat="1" applyFont="1" applyFill="1" applyBorder="1" applyAlignment="1">
      <alignment horizontal="center" vertical="center"/>
    </xf>
    <xf numFmtId="164" fontId="46" fillId="8" borderId="27" xfId="0" applyNumberFormat="1" applyFont="1" applyFill="1" applyBorder="1" applyAlignment="1">
      <alignment horizontal="center" vertical="center"/>
    </xf>
    <xf numFmtId="43" fontId="46" fillId="8" borderId="27" xfId="0" applyNumberFormat="1" applyFont="1" applyFill="1" applyBorder="1" applyAlignment="1">
      <alignment horizontal="center" vertical="center"/>
    </xf>
    <xf numFmtId="43" fontId="46" fillId="8" borderId="12" xfId="0" applyNumberFormat="1" applyFont="1" applyFill="1" applyBorder="1" applyAlignment="1">
      <alignment wrapText="1"/>
    </xf>
    <xf numFmtId="43" fontId="46" fillId="8" borderId="27" xfId="0" applyNumberFormat="1" applyFont="1" applyFill="1" applyBorder="1" applyAlignment="1">
      <alignment horizontal="center" vertical="center" wrapText="1"/>
    </xf>
    <xf numFmtId="164" fontId="46" fillId="0" borderId="55" xfId="5" applyFont="1" applyBorder="1"/>
    <xf numFmtId="164" fontId="0" fillId="0" borderId="56" xfId="5" applyFont="1" applyBorder="1"/>
    <xf numFmtId="164" fontId="46" fillId="0" borderId="6" xfId="5" applyFont="1" applyBorder="1" applyAlignment="1">
      <alignment wrapText="1"/>
    </xf>
    <xf numFmtId="164" fontId="0" fillId="0" borderId="20" xfId="5" applyFont="1" applyBorder="1" applyAlignment="1">
      <alignment wrapText="1"/>
    </xf>
    <xf numFmtId="164" fontId="46" fillId="0" borderId="6" xfId="5" applyFont="1" applyBorder="1"/>
    <xf numFmtId="164" fontId="0" fillId="0" borderId="20" xfId="5" applyFont="1" applyBorder="1"/>
    <xf numFmtId="164" fontId="46" fillId="0" borderId="53" xfId="5" applyFont="1" applyBorder="1"/>
    <xf numFmtId="164" fontId="0" fillId="0" borderId="13" xfId="5" applyFont="1" applyBorder="1"/>
    <xf numFmtId="164" fontId="46" fillId="0" borderId="22" xfId="5" applyFont="1" applyBorder="1"/>
    <xf numFmtId="164" fontId="46" fillId="8" borderId="29" xfId="5" applyFont="1" applyFill="1" applyBorder="1" applyAlignment="1">
      <alignment horizontal="center" vertical="center"/>
    </xf>
    <xf numFmtId="164" fontId="46" fillId="8" borderId="13" xfId="5" applyFont="1" applyFill="1" applyBorder="1" applyAlignment="1">
      <alignment horizontal="center" vertical="center"/>
    </xf>
    <xf numFmtId="164" fontId="46" fillId="0" borderId="12" xfId="5" applyFont="1" applyBorder="1" applyAlignment="1">
      <alignment vertical="top" wrapText="1"/>
    </xf>
    <xf numFmtId="164" fontId="0" fillId="0" borderId="12" xfId="5" applyFont="1" applyBorder="1" applyAlignment="1">
      <alignment vertical="top" wrapText="1"/>
    </xf>
    <xf numFmtId="164" fontId="46" fillId="0" borderId="0" xfId="5" applyFont="1" applyAlignment="1">
      <alignment horizontal="right" vertical="top" wrapText="1"/>
    </xf>
    <xf numFmtId="164" fontId="47" fillId="0" borderId="0" xfId="5" applyFont="1" applyAlignment="1">
      <alignment horizontal="center" vertical="center"/>
    </xf>
    <xf numFmtId="164" fontId="46" fillId="8" borderId="27" xfId="5" applyFont="1" applyFill="1" applyBorder="1" applyAlignment="1">
      <alignment horizontal="center" vertical="center"/>
    </xf>
    <xf numFmtId="164" fontId="46" fillId="8" borderId="24" xfId="5" applyFont="1" applyFill="1" applyBorder="1" applyAlignment="1">
      <alignment horizontal="center" vertical="center"/>
    </xf>
    <xf numFmtId="164" fontId="46" fillId="0" borderId="28" xfId="5" applyFont="1" applyBorder="1" applyAlignment="1">
      <alignment wrapText="1"/>
    </xf>
    <xf numFmtId="164" fontId="0" fillId="0" borderId="30" xfId="5" applyFont="1" applyBorder="1" applyAlignment="1">
      <alignment wrapText="1"/>
    </xf>
    <xf numFmtId="164" fontId="46" fillId="0" borderId="22" xfId="5" applyFont="1" applyBorder="1" applyAlignment="1">
      <alignment wrapText="1"/>
    </xf>
    <xf numFmtId="164" fontId="46" fillId="8" borderId="27" xfId="5" applyFont="1" applyFill="1" applyBorder="1" applyAlignment="1">
      <alignment horizontal="center"/>
    </xf>
    <xf numFmtId="164" fontId="46" fillId="8" borderId="24" xfId="5" applyFont="1" applyFill="1" applyBorder="1" applyAlignment="1">
      <alignment horizontal="center"/>
    </xf>
    <xf numFmtId="164" fontId="47" fillId="8" borderId="24" xfId="5" applyFont="1" applyFill="1" applyBorder="1" applyAlignment="1">
      <alignment horizontal="center" vertical="center"/>
    </xf>
    <xf numFmtId="164" fontId="47" fillId="8" borderId="24" xfId="0" applyNumberFormat="1" applyFont="1" applyFill="1" applyBorder="1" applyAlignment="1">
      <alignment horizontal="center" vertical="center"/>
    </xf>
    <xf numFmtId="4" fontId="47" fillId="8" borderId="24" xfId="5" applyNumberFormat="1" applyFont="1" applyFill="1" applyBorder="1" applyAlignment="1">
      <alignment horizontal="right" vertical="center"/>
    </xf>
    <xf numFmtId="164" fontId="47" fillId="8" borderId="27" xfId="5" applyFont="1" applyFill="1" applyBorder="1" applyAlignment="1">
      <alignment horizontal="center" vertical="center"/>
    </xf>
    <xf numFmtId="164" fontId="46" fillId="0" borderId="0" xfId="5" applyFont="1"/>
    <xf numFmtId="164" fontId="47" fillId="8" borderId="27" xfId="5" applyFont="1" applyFill="1" applyBorder="1" applyAlignment="1">
      <alignment horizontal="center"/>
    </xf>
    <xf numFmtId="164" fontId="47" fillId="8" borderId="24" xfId="5" applyFont="1" applyFill="1" applyBorder="1" applyAlignment="1">
      <alignment horizontal="center"/>
    </xf>
    <xf numFmtId="164" fontId="46" fillId="0" borderId="54" xfId="5" applyFont="1" applyBorder="1"/>
    <xf numFmtId="164" fontId="0" fillId="0" borderId="11" xfId="5" applyFont="1" applyBorder="1"/>
    <xf numFmtId="164" fontId="46" fillId="0" borderId="0" xfId="5" applyFont="1"/>
    <xf numFmtId="164" fontId="0" fillId="0" borderId="7" xfId="5" applyFont="1" applyBorder="1"/>
    <xf numFmtId="43" fontId="46" fillId="8" borderId="27" xfId="0" applyNumberFormat="1" applyFont="1" applyFill="1" applyBorder="1" applyAlignment="1">
      <alignment wrapText="1"/>
    </xf>
    <xf numFmtId="164" fontId="46" fillId="0" borderId="0" xfId="5" applyFont="1" applyAlignment="1">
      <alignment horizontal="center" vertical="center"/>
    </xf>
    <xf numFmtId="164" fontId="0" fillId="0" borderId="20" xfId="5" applyFont="1" applyBorder="1" applyAlignment="1">
      <alignment horizontal="center" vertical="center"/>
    </xf>
    <xf numFmtId="164" fontId="47" fillId="8" borderId="21" xfId="5" applyFont="1" applyFill="1" applyBorder="1"/>
    <xf numFmtId="43" fontId="46" fillId="8" borderId="27" xfId="0" applyNumberFormat="1" applyFont="1" applyFill="1" applyBorder="1" applyAlignment="1">
      <alignment horizontal="center" vertical="center" wrapText="1"/>
    </xf>
    <xf numFmtId="164" fontId="46" fillId="0" borderId="27" xfId="5" applyFont="1" applyBorder="1" applyAlignment="1">
      <alignment vertical="top" wrapText="1"/>
    </xf>
    <xf numFmtId="164" fontId="0" fillId="0" borderId="19" xfId="5" applyFont="1" applyBorder="1" applyAlignment="1">
      <alignment vertical="top" wrapText="1"/>
    </xf>
    <xf numFmtId="164" fontId="46" fillId="0" borderId="29" xfId="5" applyFont="1" applyBorder="1" applyAlignment="1">
      <alignment horizontal="right" vertical="top" wrapText="1"/>
    </xf>
    <xf numFmtId="164" fontId="47" fillId="0" borderId="28" xfId="5" applyFont="1" applyBorder="1" applyAlignment="1">
      <alignment horizontal="center" vertical="center"/>
    </xf>
    <xf numFmtId="164" fontId="47" fillId="0" borderId="26" xfId="5" applyFont="1" applyBorder="1" applyAlignment="1">
      <alignment horizontal="center" vertical="center"/>
    </xf>
    <xf numFmtId="164" fontId="46" fillId="0" borderId="27" xfId="5" applyFont="1" applyBorder="1" applyAlignment="1">
      <alignment horizontal="center" vertical="top" wrapText="1"/>
    </xf>
    <xf numFmtId="164" fontId="46" fillId="0" borderId="24" xfId="5" applyFont="1" applyBorder="1" applyAlignment="1">
      <alignment horizontal="center" vertical="top" wrapText="1"/>
    </xf>
    <xf numFmtId="164" fontId="46" fillId="0" borderId="26" xfId="5" applyFont="1" applyBorder="1" applyAlignment="1">
      <alignment horizontal="center" vertical="top" wrapText="1"/>
    </xf>
    <xf numFmtId="164" fontId="46" fillId="0" borderId="30" xfId="5" applyFont="1" applyBorder="1" applyAlignment="1">
      <alignment horizontal="center" vertical="top" wrapText="1"/>
    </xf>
    <xf numFmtId="164" fontId="46" fillId="0" borderId="0" xfId="5" applyFont="1" applyAlignment="1">
      <alignment horizontal="center" vertical="top" wrapText="1"/>
    </xf>
    <xf numFmtId="164" fontId="46" fillId="0" borderId="20" xfId="5" applyFont="1" applyBorder="1" applyAlignment="1">
      <alignment horizontal="center" vertical="top" wrapText="1"/>
    </xf>
    <xf numFmtId="164" fontId="46" fillId="8" borderId="27" xfId="5" applyFont="1" applyFill="1" applyBorder="1"/>
    <xf numFmtId="164" fontId="1" fillId="0" borderId="19" xfId="5" applyFont="1" applyBorder="1"/>
    <xf numFmtId="164" fontId="46" fillId="0" borderId="12" xfId="5" applyFont="1" applyBorder="1" applyAlignment="1">
      <alignment wrapText="1"/>
    </xf>
    <xf numFmtId="164" fontId="46" fillId="0" borderId="12" xfId="5" applyFont="1" applyBorder="1"/>
    <xf numFmtId="164" fontId="46" fillId="0" borderId="12" xfId="5" applyFont="1" applyBorder="1" applyAlignment="1">
      <alignment horizontal="center" vertical="top" wrapText="1"/>
    </xf>
    <xf numFmtId="164" fontId="46" fillId="0" borderId="12" xfId="5" applyFont="1" applyBorder="1" applyAlignment="1">
      <alignment horizontal="right" vertical="top" wrapText="1"/>
    </xf>
    <xf numFmtId="164" fontId="47" fillId="7" borderId="12" xfId="5" applyFont="1" applyFill="1" applyBorder="1" applyAlignment="1">
      <alignment horizontal="center" vertical="center"/>
    </xf>
    <xf numFmtId="0" fontId="46" fillId="0" borderId="12" xfId="5" applyNumberFormat="1" applyFont="1" applyBorder="1" applyAlignment="1"/>
    <xf numFmtId="0" fontId="46" fillId="0" borderId="12" xfId="5" applyNumberFormat="1" applyFont="1" applyBorder="1" applyAlignment="1">
      <alignment vertical="top" wrapText="1"/>
    </xf>
    <xf numFmtId="164" fontId="46" fillId="7" borderId="12" xfId="5" applyFont="1" applyFill="1" applyBorder="1" applyAlignment="1">
      <alignment horizontal="center" vertical="center"/>
    </xf>
  </cellXfs>
  <cellStyles count="6">
    <cellStyle name="Moeda" xfId="1" builtinId="4"/>
    <cellStyle name="Normal" xfId="0" builtinId="0"/>
    <cellStyle name="Normal 2" xfId="2" xr:uid="{8B4448BA-E201-4B6C-9467-F4BED9D709B0}"/>
    <cellStyle name="Normal 6" xfId="3" xr:uid="{D5E8270C-112A-4430-8268-2F001CCB448E}"/>
    <cellStyle name="Porcentagem" xfId="4" builtinId="5"/>
    <cellStyle name="Vírgula" xfId="5"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microsoft.com/office/2006/relationships/vbaProject" Target="vbaProject.bin"/></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155575</xdr:colOff>
      <xdr:row>23</xdr:row>
      <xdr:rowOff>66676</xdr:rowOff>
    </xdr:from>
    <xdr:to>
      <xdr:col>6</xdr:col>
      <xdr:colOff>936617</xdr:colOff>
      <xdr:row>27</xdr:row>
      <xdr:rowOff>130170</xdr:rowOff>
    </xdr:to>
    <xdr:sp macro="" textlink="">
      <xdr:nvSpPr>
        <xdr:cNvPr id="7169" name="Rectangle 1">
          <a:extLst>
            <a:ext uri="{FF2B5EF4-FFF2-40B4-BE49-F238E27FC236}">
              <a16:creationId xmlns:a16="http://schemas.microsoft.com/office/drawing/2014/main" id="{00000000-0008-0000-0000-0000011C0000}"/>
            </a:ext>
          </a:extLst>
        </xdr:cNvPr>
        <xdr:cNvSpPr>
          <a:spLocks noChangeArrowheads="1"/>
        </xdr:cNvSpPr>
      </xdr:nvSpPr>
      <xdr:spPr bwMode="auto">
        <a:xfrm>
          <a:off x="161925" y="3051176"/>
          <a:ext cx="9058275" cy="66357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lnSpc>
              <a:spcPts val="900"/>
            </a:lnSpc>
            <a:defRPr sz="1000"/>
          </a:pPr>
          <a:r>
            <a:rPr lang="pt-BR" sz="1000" b="0" i="0" u="none" strike="noStrike" baseline="0">
              <a:solidFill>
                <a:srgbClr val="000000"/>
              </a:solidFill>
              <a:latin typeface="Arial"/>
              <a:cs typeface="Arial"/>
            </a:rPr>
            <a:t>1 - Os parâmetros acima foram utilizados para as projeções de receitas e despesas, bem como para os cálculos em valores correntes e constantes, de acordo com sua pertinência, ou não com as origem/espécie/rubrica de receita e/ou grupo de natureza de despesa.                                                                                    2 - Os percentuais referentes ao IPCA,  Variação do PIB, Taxa Slic e Taxa de Câmbio foram extraídos do "Relatório Focus" divulgado pelo BAnco Central do Brasil (https://www.bcb.gov.br/publicacoes/focus)  </a:t>
          </a:r>
        </a:p>
      </xdr:txBody>
    </xdr:sp>
    <xdr:clientData/>
  </xdr:twoCellAnchor>
  <xdr:twoCellAnchor>
    <xdr:from>
      <xdr:col>6</xdr:col>
      <xdr:colOff>371475</xdr:colOff>
      <xdr:row>26</xdr:row>
      <xdr:rowOff>0</xdr:rowOff>
    </xdr:from>
    <xdr:to>
      <xdr:col>6</xdr:col>
      <xdr:colOff>381000</xdr:colOff>
      <xdr:row>26</xdr:row>
      <xdr:rowOff>0</xdr:rowOff>
    </xdr:to>
    <xdr:sp macro="" textlink="">
      <xdr:nvSpPr>
        <xdr:cNvPr id="24981" name="Line 8">
          <a:extLst>
            <a:ext uri="{FF2B5EF4-FFF2-40B4-BE49-F238E27FC236}">
              <a16:creationId xmlns:a16="http://schemas.microsoft.com/office/drawing/2014/main" id="{00000000-0008-0000-0000-000095610000}"/>
            </a:ext>
          </a:extLst>
        </xdr:cNvPr>
        <xdr:cNvSpPr>
          <a:spLocks noChangeShapeType="1"/>
        </xdr:cNvSpPr>
      </xdr:nvSpPr>
      <xdr:spPr bwMode="auto">
        <a:xfrm flipH="1">
          <a:off x="9353550" y="3476625"/>
          <a:ext cx="9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137583</xdr:colOff>
      <xdr:row>24</xdr:row>
      <xdr:rowOff>74083</xdr:rowOff>
    </xdr:from>
    <xdr:to>
      <xdr:col>6</xdr:col>
      <xdr:colOff>1058334</xdr:colOff>
      <xdr:row>55</xdr:row>
      <xdr:rowOff>42334</xdr:rowOff>
    </xdr:to>
    <xdr:sp macro="" textlink="">
      <xdr:nvSpPr>
        <xdr:cNvPr id="3" name="Rectangle 1">
          <a:extLst>
            <a:ext uri="{FF2B5EF4-FFF2-40B4-BE49-F238E27FC236}">
              <a16:creationId xmlns:a16="http://schemas.microsoft.com/office/drawing/2014/main" id="{00000000-0008-0000-0C00-000003000000}"/>
            </a:ext>
          </a:extLst>
        </xdr:cNvPr>
        <xdr:cNvSpPr>
          <a:spLocks noChangeArrowheads="1"/>
        </xdr:cNvSpPr>
      </xdr:nvSpPr>
      <xdr:spPr bwMode="auto">
        <a:xfrm>
          <a:off x="137583" y="5132916"/>
          <a:ext cx="6963834" cy="488950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r>
            <a:rPr lang="pt-BR" sz="1000" b="0" i="0" u="none" strike="noStrike" baseline="0">
              <a:solidFill>
                <a:srgbClr val="000000"/>
              </a:solidFill>
              <a:latin typeface="Arial"/>
              <a:cs typeface="Arial"/>
            </a:rPr>
            <a:t> </a:t>
          </a:r>
          <a:r>
            <a:rPr lang="pt-BR" sz="1100">
              <a:effectLst/>
              <a:latin typeface="+mn-lt"/>
              <a:ea typeface="+mn-ea"/>
              <a:cs typeface="+mn-cs"/>
            </a:rPr>
            <a:t>Esse demonstrativo tem por objetivo mensurar os valores serão objeto de renúncia fiscal de receita nos exercícios que compreenderão o triênio a partir da vigência da LDO e estabelecendo ainda as medidas de compensação que serão adotadas, visando a dar cumprimento ao disposto no art. 4º, § 2º, inciso V da LRF.</a:t>
          </a:r>
        </a:p>
        <a:p>
          <a:pPr>
            <a:lnSpc>
              <a:spcPts val="1200"/>
            </a:lnSpc>
          </a:pPr>
          <a:r>
            <a:rPr lang="pt-BR" sz="1100">
              <a:effectLst/>
              <a:latin typeface="+mn-lt"/>
              <a:ea typeface="+mn-ea"/>
              <a:cs typeface="+mn-cs"/>
            </a:rPr>
            <a:t> </a:t>
          </a:r>
        </a:p>
        <a:p>
          <a:pPr>
            <a:lnSpc>
              <a:spcPts val="1200"/>
            </a:lnSpc>
          </a:pPr>
          <a:r>
            <a:rPr lang="pt-BR" sz="1100">
              <a:effectLst/>
              <a:latin typeface="+mn-lt"/>
              <a:ea typeface="+mn-ea"/>
              <a:cs typeface="+mn-cs"/>
            </a:rPr>
            <a:t>A concessão de incentivos fiscais é um instrumento qu visa, entre outros objetivos, fomentar o desenvolvimento econômico do Município, atraindo novas empresas ou ampliando as já existentes, de modo a gerar novos empregos e aumentar a renda per capita da população. Já os benefícios fiscais se prestam para reduzir as desigualdades sociais, desonerando determinados segmentos da sociedade do pagamento de alguns tributos, como é o caso da isenção de iptu para os aposentados de baixa renda. Diante disso pode-se afirmar que, com a devida responsabilidade, é salutar o uso desses instrumentos que tem objetivos econômicos e sociais.</a:t>
          </a:r>
        </a:p>
        <a:p>
          <a:r>
            <a:rPr lang="pt-BR" sz="1100">
              <a:effectLst/>
              <a:latin typeface="+mn-lt"/>
              <a:ea typeface="+mn-ea"/>
              <a:cs typeface="+mn-cs"/>
            </a:rPr>
            <a:t> </a:t>
          </a:r>
        </a:p>
        <a:p>
          <a:r>
            <a:rPr lang="pt-BR" sz="1100">
              <a:effectLst/>
              <a:latin typeface="+mn-lt"/>
              <a:ea typeface="+mn-ea"/>
              <a:cs typeface="+mn-cs"/>
            </a:rPr>
            <a:t>O tema é destacado pela Lei de Responsabilidade Fiscal (LRF) que disciplinou a sua aplicação. Como sabido,  os entes da federação têm usado esses institutos como forma de controle dos desequilíbrios econômicos e sociais, e, por isso é tratado em todo o arcabouço jurídico brasileiro: constitucional, legal e infralegal.  </a:t>
          </a:r>
        </a:p>
        <a:p>
          <a:pPr>
            <a:lnSpc>
              <a:spcPts val="1200"/>
            </a:lnSpc>
          </a:pPr>
          <a:r>
            <a:rPr lang="pt-BR" sz="1100">
              <a:effectLst/>
              <a:latin typeface="+mn-lt"/>
              <a:ea typeface="+mn-ea"/>
              <a:cs typeface="+mn-cs"/>
            </a:rPr>
            <a:t> </a:t>
          </a:r>
        </a:p>
        <a:p>
          <a:pPr>
            <a:lnSpc>
              <a:spcPts val="1200"/>
            </a:lnSpc>
          </a:pPr>
          <a:r>
            <a:rPr lang="pt-BR" sz="1100">
              <a:effectLst/>
              <a:latin typeface="+mn-lt"/>
              <a:ea typeface="+mn-ea"/>
              <a:cs typeface="+mn-cs"/>
            </a:rPr>
            <a:t>A Constituição Federal em seus artigos 70 e 165, § 6º, estabelece o controle sobre as renúncias de receita, com o nítido objetivo de promover o equilíbrio fiscal.  Por sua vez, a LRF estabeleceu em seu artigo 11 a necessidade de instituição, previsão e efetiva arrecadação de todos os tributos de competência constitucional dos entes da Federação, como requisito essencial da responsabilidade na gestão fiscal. </a:t>
          </a:r>
        </a:p>
        <a:p>
          <a:r>
            <a:rPr lang="pt-BR" sz="1100">
              <a:effectLst/>
              <a:latin typeface="+mn-lt"/>
              <a:ea typeface="+mn-ea"/>
              <a:cs typeface="+mn-cs"/>
            </a:rPr>
            <a:t> </a:t>
          </a:r>
        </a:p>
        <a:p>
          <a:r>
            <a:rPr lang="pt-BR" sz="1100">
              <a:effectLst/>
              <a:latin typeface="+mn-lt"/>
              <a:ea typeface="+mn-ea"/>
              <a:cs typeface="+mn-cs"/>
            </a:rPr>
            <a:t>Nesse contexto, e conforme as diretrizes estabelecidas no Projeto de Lei das Diretrizes Orçamentárias, a estimativa de renúncia de receita deverá estar inserida na metodologia de cálculo da projeção da arrecadação efetiva dos tributos municipais. </a:t>
          </a:r>
        </a:p>
        <a:p>
          <a:pPr>
            <a:lnSpc>
              <a:spcPts val="1200"/>
            </a:lnSpc>
          </a:pPr>
          <a:r>
            <a:rPr lang="pt-BR" sz="1100">
              <a:effectLst/>
              <a:latin typeface="+mn-lt"/>
              <a:ea typeface="+mn-ea"/>
              <a:cs typeface="+mn-cs"/>
            </a:rPr>
            <a:t> </a:t>
          </a:r>
        </a:p>
        <a:p>
          <a:pPr>
            <a:lnSpc>
              <a:spcPts val="1200"/>
            </a:lnSpc>
          </a:pPr>
          <a:r>
            <a:rPr lang="pt-BR" sz="1100" b="0">
              <a:effectLst/>
              <a:latin typeface="+mn-lt"/>
              <a:ea typeface="+mn-ea"/>
              <a:cs typeface="+mn-cs"/>
            </a:rPr>
            <a:t>Dessa forma, fica evidenciado que a Administração opta pela medida de compensação prevista no art. 14, I, da LRF, o qual determina que a renúncia deve ser considerada na estimativa de receita da lei orçamentária e de que não afetará as metas de resultados fiscais. Consequentemente, as renúncias contempladas nesse demonstrativo não precisarão ser compensadas pelo </a:t>
          </a:r>
          <a:r>
            <a:rPr lang="pt-BR" sz="1100" b="0" i="1">
              <a:effectLst/>
              <a:latin typeface="+mn-lt"/>
              <a:ea typeface="+mn-ea"/>
              <a:cs typeface="+mn-cs"/>
            </a:rPr>
            <a:t>aumento de receita, proveniente da elevação de alíquotas, ampliação da base de cálculo, majoração ou criação de tributo ou contribuição</a:t>
          </a:r>
          <a:r>
            <a:rPr lang="pt-BR" sz="1100" b="0">
              <a:effectLst/>
              <a:latin typeface="+mn-lt"/>
              <a:ea typeface="+mn-ea"/>
              <a:cs typeface="+mn-cs"/>
            </a:rPr>
            <a:t>, pojs a compensação já estará ocorrendo no âmbito do processo orçamentário de estimativa das respectivas receitas.</a:t>
          </a:r>
        </a:p>
        <a:p>
          <a:pPr algn="l" rtl="0">
            <a:defRPr sz="1000"/>
          </a:pPr>
          <a:endParaRPr lang="pt-BR" sz="1000" b="0" i="0" u="none" strike="noStrike" baseline="0">
            <a:solidFill>
              <a:srgbClr val="000000"/>
            </a:solidFill>
            <a:latin typeface="Arial"/>
            <a:cs typeface="Aria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123825</xdr:colOff>
      <xdr:row>25</xdr:row>
      <xdr:rowOff>89959</xdr:rowOff>
    </xdr:from>
    <xdr:to>
      <xdr:col>1</xdr:col>
      <xdr:colOff>2844938</xdr:colOff>
      <xdr:row>44</xdr:row>
      <xdr:rowOff>95250</xdr:rowOff>
    </xdr:to>
    <xdr:sp macro="" textlink="">
      <xdr:nvSpPr>
        <xdr:cNvPr id="12289" name="Rectangle 1">
          <a:extLst>
            <a:ext uri="{FF2B5EF4-FFF2-40B4-BE49-F238E27FC236}">
              <a16:creationId xmlns:a16="http://schemas.microsoft.com/office/drawing/2014/main" id="{00000000-0008-0000-0D00-000001300000}"/>
            </a:ext>
          </a:extLst>
        </xdr:cNvPr>
        <xdr:cNvSpPr>
          <a:spLocks noChangeArrowheads="1"/>
        </xdr:cNvSpPr>
      </xdr:nvSpPr>
      <xdr:spPr bwMode="auto">
        <a:xfrm>
          <a:off x="123825" y="4863042"/>
          <a:ext cx="6425280" cy="302154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lnSpc>
              <a:spcPts val="1100"/>
            </a:lnSpc>
            <a:defRPr sz="1000"/>
          </a:pPr>
          <a:r>
            <a:rPr lang="pt-BR" sz="1000" b="0" i="0" u="none" strike="noStrike" baseline="0">
              <a:solidFill>
                <a:srgbClr val="000000"/>
              </a:solidFill>
              <a:latin typeface="+mn-lt"/>
              <a:cs typeface="Arial"/>
            </a:rPr>
            <a:t> A Demonstração da margem de expansão das despesas obrigatórias de caráter continuado visa a assegurar que não haverá criação de nova despesa sem a correspondente fonte de financiamento. </a:t>
          </a:r>
        </a:p>
        <a:p>
          <a:pPr algn="l" rtl="0">
            <a:lnSpc>
              <a:spcPts val="1100"/>
            </a:lnSpc>
            <a:defRPr sz="1000"/>
          </a:pPr>
          <a:endParaRPr lang="pt-BR" sz="1000" b="0" i="0" u="none" strike="noStrike" baseline="0">
            <a:solidFill>
              <a:srgbClr val="000000"/>
            </a:solidFill>
            <a:latin typeface="+mn-lt"/>
            <a:cs typeface="Arial"/>
          </a:endParaRPr>
        </a:p>
        <a:p>
          <a:pPr algn="l" rtl="0">
            <a:lnSpc>
              <a:spcPts val="1100"/>
            </a:lnSpc>
            <a:defRPr sz="1000"/>
          </a:pPr>
          <a:r>
            <a:rPr lang="pt-BR" sz="1000" b="0" i="0" u="none" strike="noStrike" baseline="0">
              <a:solidFill>
                <a:srgbClr val="000000"/>
              </a:solidFill>
              <a:latin typeface="+mn-lt"/>
              <a:cs typeface="Arial"/>
            </a:rPr>
            <a:t>Em outras palavras, o demonstrativo identifica o aumento permanente de receita para suportar o aumento permanente da despesa de caráter continuado, assim entendida aquela derivada de lei, contrato, ou ato normativo que fixe a obrigatoriedade de execução por um período superior a dois exercícios, cumprindo, dessa forma, a disposição contida no art. 4º, § 2º, inciso V da LRF.</a:t>
          </a:r>
        </a:p>
        <a:p>
          <a:pPr algn="l" rtl="0">
            <a:lnSpc>
              <a:spcPts val="1200"/>
            </a:lnSpc>
            <a:defRPr sz="1000"/>
          </a:pPr>
          <a:endParaRPr lang="pt-BR" sz="1000" b="0" i="0" u="none" strike="noStrike" baseline="0">
            <a:solidFill>
              <a:srgbClr val="000000"/>
            </a:solidFill>
            <a:latin typeface="+mn-lt"/>
            <a:cs typeface="Arial"/>
          </a:endParaRPr>
        </a:p>
        <a:p>
          <a:pPr algn="l" rtl="0">
            <a:lnSpc>
              <a:spcPts val="1200"/>
            </a:lnSpc>
            <a:defRPr sz="1000"/>
          </a:pPr>
          <a:r>
            <a:rPr lang="pt-BR" sz="1000" b="0" i="0" u="none" strike="noStrike" baseline="0">
              <a:solidFill>
                <a:srgbClr val="000000"/>
              </a:solidFill>
              <a:latin typeface="+mn-lt"/>
              <a:cs typeface="Arial"/>
            </a:rPr>
            <a:t>Desse modo, para estimar o aumento permanente das receitas em 2025 considerou-se o incremento real, ou seja, a diferença entre os valores estimados a preços constantes das receitas  trbutárias e de transferências correntes, no biênio 2024-20225</a:t>
          </a:r>
        </a:p>
        <a:p>
          <a:pPr algn="l" rtl="0">
            <a:lnSpc>
              <a:spcPts val="1200"/>
            </a:lnSpc>
            <a:defRPr sz="1000"/>
          </a:pPr>
          <a:endParaRPr lang="pt-BR" sz="1000" b="0" i="0" u="none" strike="noStrike" baseline="0">
            <a:solidFill>
              <a:srgbClr val="000000"/>
            </a:solidFill>
            <a:latin typeface="+mn-lt"/>
            <a:cs typeface="Arial"/>
          </a:endParaRPr>
        </a:p>
        <a:p>
          <a:pPr algn="l" rtl="0">
            <a:lnSpc>
              <a:spcPts val="1200"/>
            </a:lnSpc>
            <a:defRPr sz="1000"/>
          </a:pPr>
          <a:r>
            <a:rPr lang="pt-BR" sz="1000" b="0" i="0" u="none" strike="noStrike" baseline="0">
              <a:solidFill>
                <a:srgbClr val="000000"/>
              </a:solidFill>
              <a:latin typeface="+mn-lt"/>
              <a:cs typeface="Arial"/>
            </a:rPr>
            <a:t>Na mesma linha, o aumento permanente das despesas de caráter obrigatório que terão impacto em 2025, foi calculado pela diferença a valores constantes, observada no biênio 2024-2025 nos grupos de natureza de despesa "Pessoal" e "Outras Despesas Correntes", chegando-se, assim, ao saldo da margem líquida de expansão.  Quando negativo (</a:t>
          </a:r>
          <a:r>
            <a:rPr lang="pt-BR" sz="1000" b="1" i="0" u="none" strike="noStrike" baseline="0">
              <a:solidFill>
                <a:srgbClr val="000000"/>
              </a:solidFill>
              <a:latin typeface="+mn-lt"/>
              <a:cs typeface="Arial"/>
            </a:rPr>
            <a:t>SEM MARGEM</a:t>
          </a:r>
          <a:r>
            <a:rPr lang="pt-BR" sz="1000" b="0" i="0" u="none" strike="noStrike" baseline="0">
              <a:solidFill>
                <a:srgbClr val="000000"/>
              </a:solidFill>
              <a:latin typeface="+mn-lt"/>
              <a:cs typeface="Arial"/>
            </a:rPr>
            <a:t>), o resultado apresentado </a:t>
          </a:r>
          <a:r>
            <a:rPr lang="pt-BR" sz="1000">
              <a:effectLst/>
              <a:latin typeface="+mn-lt"/>
              <a:ea typeface="+mn-ea"/>
              <a:cs typeface="+mn-cs"/>
            </a:rPr>
            <a:t>é meramente indicativo de alerta para a criação de novas DOCC</a:t>
          </a:r>
          <a:r>
            <a:rPr lang="pt-BR" sz="1000" b="1">
              <a:effectLst/>
              <a:latin typeface="+mn-lt"/>
              <a:ea typeface="+mn-ea"/>
              <a:cs typeface="+mn-cs"/>
            </a:rPr>
            <a:t>.  Quando for positivo </a:t>
          </a:r>
          <a:r>
            <a:rPr lang="pt-BR" sz="1000">
              <a:effectLst/>
              <a:latin typeface="+mn-lt"/>
              <a:ea typeface="+mn-ea"/>
              <a:cs typeface="+mn-cs"/>
            </a:rPr>
            <a:t>é indicativo da possibilidade</a:t>
          </a:r>
          <a:r>
            <a:rPr lang="pt-BR" sz="1000" baseline="0">
              <a:effectLst/>
              <a:latin typeface="+mn-lt"/>
              <a:ea typeface="+mn-ea"/>
              <a:cs typeface="+mn-cs"/>
            </a:rPr>
            <a:t> de </a:t>
          </a:r>
          <a:r>
            <a:rPr lang="pt-BR" sz="1000">
              <a:effectLst/>
              <a:latin typeface="+mn-lt"/>
              <a:ea typeface="+mn-ea"/>
              <a:cs typeface="+mn-cs"/>
            </a:rPr>
            <a:t>criação de novas DOCC.</a:t>
          </a:r>
        </a:p>
        <a:p>
          <a:pPr algn="l" rtl="0">
            <a:lnSpc>
              <a:spcPts val="1000"/>
            </a:lnSpc>
            <a:defRPr sz="1000"/>
          </a:pPr>
          <a:endParaRPr lang="pt-BR" sz="1000" b="0" i="0" u="none" strike="noStrike" baseline="0">
            <a:solidFill>
              <a:srgbClr val="000000"/>
            </a:solidFill>
            <a:latin typeface="Arial"/>
            <a:cs typeface="Aria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180975</xdr:colOff>
      <xdr:row>27</xdr:row>
      <xdr:rowOff>76201</xdr:rowOff>
    </xdr:from>
    <xdr:to>
      <xdr:col>3</xdr:col>
      <xdr:colOff>873144</xdr:colOff>
      <xdr:row>41</xdr:row>
      <xdr:rowOff>142875</xdr:rowOff>
    </xdr:to>
    <xdr:sp macro="" textlink="">
      <xdr:nvSpPr>
        <xdr:cNvPr id="15362" name="Rectangle 2">
          <a:extLst>
            <a:ext uri="{FF2B5EF4-FFF2-40B4-BE49-F238E27FC236}">
              <a16:creationId xmlns:a16="http://schemas.microsoft.com/office/drawing/2014/main" id="{00000000-0008-0000-0E00-0000023C0000}"/>
            </a:ext>
          </a:extLst>
        </xdr:cNvPr>
        <xdr:cNvSpPr>
          <a:spLocks noChangeArrowheads="1"/>
        </xdr:cNvSpPr>
      </xdr:nvSpPr>
      <xdr:spPr bwMode="auto">
        <a:xfrm>
          <a:off x="180975" y="5362576"/>
          <a:ext cx="6788169" cy="233362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r>
            <a:rPr lang="pt-BR" sz="1000" b="0" i="0" u="none" strike="noStrike" baseline="0">
              <a:solidFill>
                <a:srgbClr val="000000"/>
              </a:solidFill>
              <a:latin typeface="+mn-lt"/>
              <a:cs typeface="Arial"/>
            </a:rPr>
            <a:t>O Anexo de Riscos fiscais tem por objetivo especificar eventuais riscos que possam impactar negativamente nas contas públicas, indicando de forma preventiva as providências a serem tomadas caso as situaçãoes acima descritas venham a ocorrer, cumprindo desta forma o disposto no art. 4º, § 3º da LRF.                                                                                                                                                      </a:t>
          </a:r>
        </a:p>
        <a:p>
          <a:endParaRPr lang="pt-BR" sz="1000" b="0" i="0" u="none" strike="noStrike" baseline="0">
            <a:solidFill>
              <a:srgbClr val="000000"/>
            </a:solidFill>
            <a:latin typeface="+mn-lt"/>
            <a:cs typeface="Arial"/>
          </a:endParaRPr>
        </a:p>
        <a:p>
          <a:r>
            <a:rPr lang="pt-BR" sz="1000" b="0" i="0" u="none" strike="noStrike" baseline="0">
              <a:solidFill>
                <a:srgbClr val="000000"/>
              </a:solidFill>
              <a:latin typeface="+mn-lt"/>
              <a:cs typeface="Arial"/>
            </a:rPr>
            <a:t> 1 - Os valores referente aos </a:t>
          </a:r>
          <a:r>
            <a:rPr lang="pt-BR" sz="1000" b="1" i="0" u="none" strike="noStrike" baseline="0">
              <a:solidFill>
                <a:srgbClr val="000000"/>
              </a:solidFill>
              <a:latin typeface="+mn-lt"/>
              <a:cs typeface="Arial"/>
            </a:rPr>
            <a:t>PASSIVOS CONTINGENTES</a:t>
          </a:r>
          <a:r>
            <a:rPr lang="pt-BR" sz="1000" b="0" i="0" u="none" strike="noStrike" baseline="0">
              <a:solidFill>
                <a:srgbClr val="000000"/>
              </a:solidFill>
              <a:latin typeface="+mn-lt"/>
              <a:cs typeface="Arial"/>
            </a:rPr>
            <a:t>, representam a estimativa de </a:t>
          </a:r>
          <a:r>
            <a:rPr lang="pt-BR" sz="1000" b="0" i="0" u="none" strike="noStrike" baseline="0">
              <a:latin typeface="+mn-lt"/>
              <a:ea typeface="+mn-ea"/>
              <a:cs typeface="+mn-cs"/>
            </a:rPr>
            <a:t>possível obrigações em 2025, cuja existência será confirmada somente em caso de ocorrência de um mais eventos futuros que não estão totalmente sob o controle do Municípioda entidade.  Também poderão poderão representar possíveis obrigações decorretes de eventos passados, mas que não estão reconhecidas contabilmente e tampouco contam com previsão de recursos no orçamento porque é improvável a sua liquidação em 2025.                                                                                                                                                                                                     </a:t>
          </a:r>
        </a:p>
        <a:p>
          <a:endParaRPr lang="pt-BR" sz="1000" b="0" i="0" u="none" strike="noStrike" baseline="0">
            <a:latin typeface="+mn-lt"/>
            <a:ea typeface="+mn-ea"/>
            <a:cs typeface="+mn-cs"/>
          </a:endParaRPr>
        </a:p>
        <a:p>
          <a:r>
            <a:rPr lang="pt-BR" sz="1000" b="0" i="0" u="none" strike="noStrike" baseline="0">
              <a:latin typeface="+mn-lt"/>
              <a:ea typeface="+mn-ea"/>
              <a:cs typeface="+mn-cs"/>
            </a:rPr>
            <a:t> 2 -  Os </a:t>
          </a:r>
          <a:r>
            <a:rPr lang="pt-BR" sz="1000" b="1" i="0" u="none" strike="noStrike" baseline="0">
              <a:latin typeface="+mn-lt"/>
              <a:ea typeface="+mn-ea"/>
              <a:cs typeface="+mn-cs"/>
            </a:rPr>
            <a:t>DEMAIS RISCOS FISCAIS PASSIVOS </a:t>
          </a:r>
          <a:r>
            <a:rPr lang="pt-BR" sz="1000" b="0" i="0" u="none" strike="noStrike" baseline="0">
              <a:latin typeface="+mn-lt"/>
              <a:ea typeface="+mn-ea"/>
              <a:cs typeface="+mn-cs"/>
            </a:rPr>
            <a:t>estão relacionados principalmente aos riscos orçamentários relacionados com a possibilidade da ocorrência de impactos negativos na execução orçamentária,  devido a fatores tais como as receitas previstas não se realizarem (frustração de  à necessidade de execução de despesas inicialmente não</a:t>
          </a:r>
        </a:p>
        <a:p>
          <a:pPr>
            <a:lnSpc>
              <a:spcPts val="1200"/>
            </a:lnSpc>
          </a:pPr>
          <a:r>
            <a:rPr lang="pt-BR" sz="1000" b="0" i="0" u="none" strike="noStrike" baseline="0">
              <a:latin typeface="+mn-lt"/>
              <a:ea typeface="+mn-ea"/>
              <a:cs typeface="+mn-cs"/>
            </a:rPr>
            <a:t>fixadas (abertura de créditos especiais e/opu extraordinários) ou orçadas a menor (créditos suplementares).</a:t>
          </a:r>
          <a:r>
            <a:rPr lang="pt-BR" sz="1000" b="0" i="0" u="none" strike="noStrike" baseline="0">
              <a:solidFill>
                <a:srgbClr val="000000"/>
              </a:solidFill>
              <a:latin typeface="+mn-lt"/>
              <a:cs typeface="Arial"/>
            </a:rPr>
            <a:t>                                                                    </a:t>
          </a:r>
        </a:p>
        <a:p>
          <a:pPr algn="l" rtl="0">
            <a:lnSpc>
              <a:spcPts val="1000"/>
            </a:lnSpc>
            <a:defRPr sz="1000"/>
          </a:pPr>
          <a:endParaRPr lang="pt-BR" sz="1000" b="0" i="0" u="none" strike="noStrike" baseline="0">
            <a:solidFill>
              <a:srgbClr val="000000"/>
            </a:solidFill>
            <a:latin typeface="Arial"/>
            <a:cs typeface="Arial"/>
          </a:endParaRPr>
        </a:p>
        <a:p>
          <a:pPr algn="l" rtl="0">
            <a:lnSpc>
              <a:spcPts val="900"/>
            </a:lnSpc>
            <a:defRPr sz="1000"/>
          </a:pPr>
          <a:endParaRPr lang="pt-BR"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17</xdr:row>
          <xdr:rowOff>57150</xdr:rowOff>
        </xdr:from>
        <xdr:to>
          <xdr:col>4</xdr:col>
          <xdr:colOff>9525</xdr:colOff>
          <xdr:row>44</xdr:row>
          <xdr:rowOff>66675</xdr:rowOff>
        </xdr:to>
        <xdr:sp macro="" textlink="">
          <xdr:nvSpPr>
            <xdr:cNvPr id="21506" name="Object 2" hidden="1">
              <a:extLst>
                <a:ext uri="{63B3BB69-23CF-44E3-9099-C40C66FF867C}">
                  <a14:compatExt spid="_x0000_s21506"/>
                </a:ext>
                <a:ext uri="{FF2B5EF4-FFF2-40B4-BE49-F238E27FC236}">
                  <a16:creationId xmlns:a16="http://schemas.microsoft.com/office/drawing/2014/main" id="{00000000-0008-0000-0400-0000025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346075</xdr:colOff>
      <xdr:row>26</xdr:row>
      <xdr:rowOff>140760</xdr:rowOff>
    </xdr:from>
    <xdr:to>
      <xdr:col>6</xdr:col>
      <xdr:colOff>482610</xdr:colOff>
      <xdr:row>35</xdr:row>
      <xdr:rowOff>84668</xdr:rowOff>
    </xdr:to>
    <xdr:sp macro="" textlink="">
      <xdr:nvSpPr>
        <xdr:cNvPr id="9327" name="Rectangle 6">
          <a:extLst>
            <a:ext uri="{FF2B5EF4-FFF2-40B4-BE49-F238E27FC236}">
              <a16:creationId xmlns:a16="http://schemas.microsoft.com/office/drawing/2014/main" id="{00000000-0008-0000-0500-00006F240000}"/>
            </a:ext>
          </a:extLst>
        </xdr:cNvPr>
        <xdr:cNvSpPr>
          <a:spLocks noChangeArrowheads="1"/>
        </xdr:cNvSpPr>
      </xdr:nvSpPr>
      <xdr:spPr bwMode="auto">
        <a:xfrm>
          <a:off x="346075" y="5792260"/>
          <a:ext cx="9227618" cy="127740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22860" rIns="0" bIns="0" anchor="t" upright="1"/>
        <a:lstStyle/>
        <a:p>
          <a:pPr algn="l" rtl="0">
            <a:defRPr sz="1000"/>
          </a:pPr>
          <a:r>
            <a:rPr lang="pt-BR" sz="1000" b="1" i="0" u="none" strike="noStrike" baseline="0">
              <a:solidFill>
                <a:srgbClr val="000000"/>
              </a:solidFill>
              <a:latin typeface="+mn-lt"/>
              <a:cs typeface="Arial"/>
            </a:rPr>
            <a:t>Dívida Pública Consolidada – É o montante total apurado:</a:t>
          </a:r>
          <a:endParaRPr lang="pt-BR" sz="1000" b="0" i="0" u="none" strike="noStrike" baseline="0">
            <a:solidFill>
              <a:srgbClr val="000000"/>
            </a:solidFill>
            <a:latin typeface="+mn-lt"/>
            <a:cs typeface="Arial"/>
          </a:endParaRPr>
        </a:p>
        <a:p>
          <a:pPr algn="l" rtl="0">
            <a:defRPr sz="1000"/>
          </a:pPr>
          <a:r>
            <a:rPr lang="pt-BR" sz="1000" b="0" i="0" u="none" strike="noStrike" baseline="0">
              <a:solidFill>
                <a:srgbClr val="000000"/>
              </a:solidFill>
              <a:latin typeface="+mn-lt"/>
              <a:cs typeface="Arial"/>
            </a:rPr>
            <a:t>- das obrigações financeiras do Município, inclusive as decorrentes de emissão de títulos, assumidas em virtude de leis, contratos, convênios ou tratados;</a:t>
          </a:r>
        </a:p>
        <a:p>
          <a:pPr algn="l" rtl="0">
            <a:defRPr sz="1000"/>
          </a:pPr>
          <a:r>
            <a:rPr lang="pt-BR" sz="1000" b="0" i="0" u="none" strike="noStrike" baseline="0">
              <a:solidFill>
                <a:srgbClr val="000000"/>
              </a:solidFill>
              <a:latin typeface="+mn-lt"/>
              <a:cs typeface="Arial"/>
            </a:rPr>
            <a:t>- das obrigações financeiras doMunicípio, assumidas em virtude da realização de operações de crédito para amortização em prazo superior a doze meses ou que, embora de prazo inferior a doze meses, tenham constado como receitas no orçamento;</a:t>
          </a:r>
        </a:p>
        <a:p>
          <a:pPr algn="l" rtl="0">
            <a:defRPr sz="1000"/>
          </a:pPr>
          <a:r>
            <a:rPr lang="pt-BR" sz="1000" b="0" i="0" u="none" strike="noStrike" baseline="0">
              <a:solidFill>
                <a:srgbClr val="000000"/>
              </a:solidFill>
              <a:latin typeface="+mn-lt"/>
              <a:cs typeface="Arial"/>
            </a:rPr>
            <a:t>- dos precatórios judiciais emitidos a partir de 5 de maio de 2000 e não pagos durante a execução do orçamento em que houverem sido incluídos.</a:t>
          </a:r>
        </a:p>
        <a:p>
          <a:pPr algn="l" rtl="0">
            <a:defRPr sz="1000"/>
          </a:pPr>
          <a:endParaRPr lang="pt-BR" sz="1000" b="0" i="0" u="none" strike="noStrike" baseline="0">
            <a:solidFill>
              <a:srgbClr val="000000"/>
            </a:solidFill>
            <a:latin typeface="+mn-lt"/>
            <a:cs typeface="Arial"/>
          </a:endParaRPr>
        </a:p>
        <a:p>
          <a:pPr algn="l" rtl="0">
            <a:defRPr sz="1000"/>
          </a:pPr>
          <a:r>
            <a:rPr lang="pt-BR" sz="1000" b="1" i="0" u="none" strike="noStrike" baseline="0">
              <a:solidFill>
                <a:srgbClr val="000000"/>
              </a:solidFill>
              <a:latin typeface="+mn-lt"/>
              <a:cs typeface="Arial"/>
            </a:rPr>
            <a:t>Dívida Consolidada Líquida – DCL –</a:t>
          </a:r>
          <a:r>
            <a:rPr lang="pt-BR" sz="1000" b="0" i="0" u="none" strike="noStrike" baseline="0">
              <a:solidFill>
                <a:srgbClr val="000000"/>
              </a:solidFill>
              <a:latin typeface="+mn-lt"/>
              <a:cs typeface="Arial"/>
            </a:rPr>
            <a:t> Corresponde à dívida pública consolidada menos as deduções, que compreendem o ativo disponível e os haveres financeiros, líquidos dos Restos a Pagar Processados.</a:t>
          </a:r>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40</xdr:row>
      <xdr:rowOff>0</xdr:rowOff>
    </xdr:from>
    <xdr:to>
      <xdr:col>12</xdr:col>
      <xdr:colOff>638175</xdr:colOff>
      <xdr:row>67</xdr:row>
      <xdr:rowOff>9525</xdr:rowOff>
    </xdr:to>
    <xdr:sp macro="" textlink="">
      <xdr:nvSpPr>
        <xdr:cNvPr id="2" name="Rectangle 3">
          <a:extLst>
            <a:ext uri="{FF2B5EF4-FFF2-40B4-BE49-F238E27FC236}">
              <a16:creationId xmlns:a16="http://schemas.microsoft.com/office/drawing/2014/main" id="{00000000-0008-0000-0600-000002000000}"/>
            </a:ext>
          </a:extLst>
        </xdr:cNvPr>
        <xdr:cNvSpPr>
          <a:spLocks noChangeArrowheads="1"/>
        </xdr:cNvSpPr>
      </xdr:nvSpPr>
      <xdr:spPr bwMode="auto">
        <a:xfrm>
          <a:off x="0" y="8686800"/>
          <a:ext cx="10267950" cy="4381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t-BR" sz="1000" b="1" i="0" u="none" strike="noStrike" baseline="0">
              <a:solidFill>
                <a:srgbClr val="000000"/>
              </a:solidFill>
              <a:latin typeface="+mn-lt"/>
              <a:cs typeface="Calibri"/>
            </a:rPr>
            <a:t>Premissas e Metodologia UtilizadaS:</a:t>
          </a:r>
          <a:endParaRPr lang="pt-BR" sz="1000" b="0" i="0" u="none" strike="noStrike" baseline="0">
            <a:solidFill>
              <a:srgbClr val="000000"/>
            </a:solidFill>
            <a:latin typeface="+mn-lt"/>
            <a:cs typeface="Calibri"/>
          </a:endParaRPr>
        </a:p>
        <a:p>
          <a:pPr algn="l" rtl="0">
            <a:defRPr sz="1000"/>
          </a:pPr>
          <a:r>
            <a:rPr lang="pt-BR" sz="1000" b="1" i="0" u="none" strike="noStrike" baseline="0">
              <a:solidFill>
                <a:srgbClr val="000000"/>
              </a:solidFill>
              <a:latin typeface="+mn-lt"/>
              <a:cs typeface="Calibri"/>
            </a:rPr>
            <a:t>1 -</a:t>
          </a:r>
          <a:r>
            <a:rPr lang="pt-BR" sz="1000" b="0" i="0" u="none" strike="noStrike" baseline="0">
              <a:solidFill>
                <a:srgbClr val="000000"/>
              </a:solidFill>
              <a:latin typeface="+mn-lt"/>
              <a:cs typeface="Calibri"/>
            </a:rPr>
            <a:t> Os parâmetros macroeconômicos utilizados na elaboração das estimativas constantes no Anexo de Metas Fiscais são relacionados na </a:t>
          </a:r>
          <a:r>
            <a:rPr lang="pt-BR" sz="1000" b="1" i="0" u="none" strike="noStrike" baseline="0">
              <a:solidFill>
                <a:srgbClr val="000000"/>
              </a:solidFill>
              <a:latin typeface="+mn-lt"/>
              <a:cs typeface="Calibri"/>
            </a:rPr>
            <a:t>Tabela 01.</a:t>
          </a:r>
          <a:r>
            <a:rPr lang="pt-BR" sz="1000" b="0" i="0" u="none" strike="noStrike" baseline="0">
              <a:solidFill>
                <a:srgbClr val="000000"/>
              </a:solidFill>
              <a:latin typeface="+mn-lt"/>
              <a:cs typeface="Calibri"/>
            </a:rPr>
            <a:t> Os números estão apresentados de duas formas. Em moeda corrente e em valores constantes (sem inflação). Esses indicadores foram utilizados na composição da estimativa de receita que considerou a média de arrecadação, em cada fonte, tomando por base as receitas arrecadadas nos últimos três exercícios (2021, 2022 e 2023) e os valores reestimados para o exercício atual (2024), além das premissas consideradas como verdadeiras e relacionadas, por exemplo, ao índice de inflação, crescimento do PIB, atualização da planta de valores do IPTU, ampliação do perímetro urbano da cidade, políticas de combate à evasão e à sonegação fiscal, comportamento das receitas oriundas de transferências da União e do Estado, dentre outros.</a:t>
          </a:r>
        </a:p>
        <a:p>
          <a:pPr algn="l" rtl="0">
            <a:defRPr sz="1000"/>
          </a:pPr>
          <a:r>
            <a:rPr lang="pt-BR" sz="1000" b="1" i="0" u="none" strike="noStrike" baseline="0">
              <a:solidFill>
                <a:srgbClr val="000000"/>
              </a:solidFill>
              <a:latin typeface="+mn-lt"/>
              <a:cs typeface="Calibri"/>
            </a:rPr>
            <a:t>2 -</a:t>
          </a:r>
          <a:r>
            <a:rPr lang="pt-BR" sz="1000" b="0" i="0" u="none" strike="noStrike" baseline="0">
              <a:solidFill>
                <a:srgbClr val="000000"/>
              </a:solidFill>
              <a:latin typeface="+mn-lt"/>
              <a:cs typeface="Calibri"/>
            </a:rPr>
            <a:t> Em relação às despesas correntes, foram considerados os parâmetros de inflação, crescimento vegetativo e aumento real, quando cabível, das despesas de custeios.  Quanrto aos aos investimentos, além da inflação, considerou-se a estimativa de crescimento real dessas despesas em nível que viabilize a sua expansão a fim de garantir, precipuamente, a conclusão dos projetos em andamento demonstrados no </a:t>
          </a:r>
          <a:r>
            <a:rPr lang="pt-BR" sz="1000" b="1" i="0" u="none" strike="noStrike" baseline="0">
              <a:solidFill>
                <a:srgbClr val="000000"/>
              </a:solidFill>
              <a:latin typeface="+mn-lt"/>
              <a:cs typeface="Calibri"/>
            </a:rPr>
            <a:t>Anexo IV.</a:t>
          </a:r>
          <a:r>
            <a:rPr lang="pt-BR" sz="1000" b="0" i="0" u="none" strike="noStrike" baseline="0">
              <a:solidFill>
                <a:srgbClr val="000000"/>
              </a:solidFill>
              <a:latin typeface="+mn-lt"/>
              <a:cs typeface="Calibri"/>
            </a:rPr>
            <a:t>  Asseguraram-se, ainda, os recursos para pagamento das obrigações decorrentes de juros e amortização da dívida pública.</a:t>
          </a:r>
        </a:p>
        <a:p>
          <a:pPr algn="l" rtl="0">
            <a:defRPr sz="1000"/>
          </a:pPr>
          <a:r>
            <a:rPr lang="pt-BR" sz="1000" b="1" i="0" u="none" strike="noStrike" baseline="0">
              <a:solidFill>
                <a:srgbClr val="000000"/>
              </a:solidFill>
              <a:latin typeface="+mn-lt"/>
              <a:cs typeface="Calibri"/>
            </a:rPr>
            <a:t>3 –</a:t>
          </a:r>
          <a:r>
            <a:rPr lang="pt-BR" sz="1000" b="0" i="0" u="none" strike="noStrike" baseline="0">
              <a:solidFill>
                <a:srgbClr val="000000"/>
              </a:solidFill>
              <a:latin typeface="+mn-lt"/>
              <a:cs typeface="Calibri"/>
            </a:rPr>
            <a:t> No tocante às despesas com pessoal, em específico, foi considerado o provável efeito da revisão geral anual prevista na Constituição, o crescimento vegetativo da folha salarial e eventual aumento acima dos níveis inflacionários. As </a:t>
          </a:r>
          <a:r>
            <a:rPr lang="pt-BR" sz="1000" b="1" i="0" u="none" strike="noStrike" baseline="0">
              <a:solidFill>
                <a:srgbClr val="000000"/>
              </a:solidFill>
              <a:latin typeface="+mn-lt"/>
              <a:cs typeface="Calibri"/>
            </a:rPr>
            <a:t>Tabelas  03 e 04 </a:t>
          </a:r>
          <a:r>
            <a:rPr lang="pt-BR" sz="1000" b="0" i="0" u="none" strike="noStrike" baseline="0">
              <a:solidFill>
                <a:srgbClr val="000000"/>
              </a:solidFill>
              <a:latin typeface="+mn-lt"/>
              <a:cs typeface="Calibri"/>
            </a:rPr>
            <a:t>demonstram, respectivamente, as projeções para a Receita Corrente Líquida e Limites para os  Gastos com Pessoal dos Poderes Executivo e Legislativo.</a:t>
          </a:r>
        </a:p>
        <a:p>
          <a:pPr algn="l" rtl="0">
            <a:defRPr sz="1000"/>
          </a:pPr>
          <a:r>
            <a:rPr lang="pt-BR" sz="1000" b="1" i="0" u="none" strike="noStrike" baseline="0">
              <a:solidFill>
                <a:srgbClr val="000000"/>
              </a:solidFill>
              <a:latin typeface="+mn-lt"/>
              <a:cs typeface="Calibri"/>
            </a:rPr>
            <a:t>4 -</a:t>
          </a:r>
          <a:r>
            <a:rPr lang="pt-BR" sz="1000" b="0" i="0" u="none" strike="noStrike" baseline="0">
              <a:solidFill>
                <a:srgbClr val="000000"/>
              </a:solidFill>
              <a:latin typeface="+mn-lt"/>
              <a:cs typeface="Calibri"/>
            </a:rPr>
            <a:t> Considera-se o PIB e o IPCA como as principais variáveis para explicar o crescimento nominal das receitas, visto que boa parte das receitas tributárias e não tributárias, bem como as transferências constitucionais e legais acompanham o ritmo das atividades econômicas de âmbito nacional. Assim, para os exercícios de 2025, 2026 e 2027, considerou-se um crescimento do Produto Interno Bruto nacional de 2 %, 2% e  2 % e das taxas de inflação (IPCA), de 4 %, 4 % e 4 %, respectivamente, cujas projeções decorrem do sistema de expectativa de mercado, segundo informações do sítio do Banco Central do Brasil.</a:t>
          </a:r>
        </a:p>
        <a:p>
          <a:pPr algn="l" rtl="0">
            <a:defRPr sz="1000"/>
          </a:pPr>
          <a:r>
            <a:rPr lang="pt-BR" sz="1000" b="1" i="0" u="none" strike="noStrike" baseline="0">
              <a:solidFill>
                <a:srgbClr val="000000"/>
              </a:solidFill>
              <a:latin typeface="+mn-lt"/>
              <a:cs typeface="Calibri"/>
            </a:rPr>
            <a:t>5 -</a:t>
          </a:r>
          <a:r>
            <a:rPr lang="pt-BR" sz="1000" b="0" i="0" u="none" strike="noStrike" baseline="0">
              <a:solidFill>
                <a:srgbClr val="000000"/>
              </a:solidFill>
              <a:latin typeface="+mn-lt"/>
              <a:cs typeface="Calibri"/>
            </a:rPr>
            <a:t> Outro ponto importante a ser destacado é que a receita do Município, conforme estabelece o § 3º, do art. 1º da Lei Complementar nº 101/00, compreende as receitas de todos os órgãos da Administração Pública Municipal, inclusive as receitas intraorçamentárias.</a:t>
          </a:r>
        </a:p>
        <a:p>
          <a:pPr algn="l" rtl="0">
            <a:defRPr sz="1000"/>
          </a:pPr>
          <a:r>
            <a:rPr lang="pt-BR" sz="1000" b="1" i="0" u="none" strike="noStrike" baseline="0">
              <a:solidFill>
                <a:srgbClr val="000000"/>
              </a:solidFill>
              <a:latin typeface="+mn-lt"/>
              <a:cs typeface="Calibri"/>
            </a:rPr>
            <a:t>6 -</a:t>
          </a:r>
          <a:r>
            <a:rPr lang="pt-BR" sz="1000" b="0" i="0" u="none" strike="noStrike" baseline="0">
              <a:solidFill>
                <a:srgbClr val="000000"/>
              </a:solidFill>
              <a:latin typeface="+mn-lt"/>
              <a:cs typeface="Calibri"/>
            </a:rPr>
            <a:t> Em relação ao cálculo do Resultado Primário e do Resultado Nominal, considerou a metodologia estabelecida na Portaria STN nº  699/2023 Os resultados primários previstos para os três exercícios são considerados suficientes para manutenção do equilíbrio fiscal. Cabe ponderar que, nos termos do art. 2º da LDO, o resultado primário poderá ser revisto por ocasião da elaboração da Lei Orçamentária Anual ou durante o exercício de 2025. O resultado nominal reflete a variação do endividamento fiscal líquido entre as datas referidas.  </a:t>
          </a:r>
          <a:endParaRPr lang="pt-BR" sz="1000" b="1" i="0" u="none" strike="noStrike" baseline="0">
            <a:solidFill>
              <a:srgbClr val="000000"/>
            </a:solidFill>
            <a:latin typeface="+mn-lt"/>
            <a:cs typeface="Calibri"/>
          </a:endParaRPr>
        </a:p>
        <a:p>
          <a:pPr algn="l" rtl="0">
            <a:defRPr sz="1000"/>
          </a:pPr>
          <a:r>
            <a:rPr lang="pt-BR" sz="1000" b="1" i="0" u="none" strike="noStrike" baseline="0">
              <a:solidFill>
                <a:srgbClr val="000000"/>
              </a:solidFill>
              <a:latin typeface="+mn-lt"/>
              <a:cs typeface="Calibri"/>
            </a:rPr>
            <a:t>7 -</a:t>
          </a:r>
          <a:r>
            <a:rPr lang="pt-BR" sz="1000" b="0" i="0" u="none" strike="noStrike" baseline="0">
              <a:solidFill>
                <a:srgbClr val="000000"/>
              </a:solidFill>
              <a:latin typeface="+mn-lt"/>
              <a:cs typeface="Calibri"/>
            </a:rPr>
            <a:t> Já na apuração do montante da dívida líquida, os valores das Disponibilidades Financeiras foram calculados levando-se em consideração o provável saldo existente em 31/12/2024, projetando-se os valores futuros com base nos percentuais médios dos valores realizados no ano anterior.</a:t>
          </a:r>
        </a:p>
        <a:p>
          <a:pPr algn="l" rtl="0">
            <a:lnSpc>
              <a:spcPts val="1100"/>
            </a:lnSpc>
            <a:defRPr sz="1000"/>
          </a:pPr>
          <a:r>
            <a:rPr lang="pt-BR" sz="1000" b="1" i="0" u="none" strike="noStrike" baseline="0">
              <a:solidFill>
                <a:srgbClr val="000000"/>
              </a:solidFill>
              <a:latin typeface="+mn-lt"/>
              <a:cs typeface="Calibri"/>
            </a:rPr>
            <a:t>8 Na A tabela 02 </a:t>
          </a:r>
          <a:r>
            <a:rPr lang="pt-BR" sz="1000" b="0" i="0" u="none" strike="noStrike" baseline="0">
              <a:solidFill>
                <a:srgbClr val="000000"/>
              </a:solidFill>
              <a:latin typeface="+mn-lt"/>
              <a:cs typeface="Calibri"/>
            </a:rPr>
            <a:t>evidencia o detalhamento das projeções da receita e despesa que serviram de base para os dados apresentados neste demonstrativo.</a:t>
          </a:r>
        </a:p>
        <a:p>
          <a:pPr algn="l" rtl="0">
            <a:lnSpc>
              <a:spcPts val="1000"/>
            </a:lnSpc>
            <a:defRPr sz="1000"/>
          </a:pPr>
          <a:r>
            <a:rPr lang="pt-BR" sz="1000" b="1" i="0" u="none" strike="noStrike" baseline="0">
              <a:solidFill>
                <a:srgbClr val="000000"/>
              </a:solidFill>
              <a:latin typeface="+mn-lt"/>
              <a:cs typeface="Calibri"/>
            </a:rPr>
            <a:t>9 -</a:t>
          </a:r>
          <a:r>
            <a:rPr lang="pt-BR" sz="1000" b="0" i="0" u="none" strike="noStrike" baseline="0">
              <a:solidFill>
                <a:srgbClr val="000000"/>
              </a:solidFill>
              <a:latin typeface="+mn-lt"/>
              <a:cs typeface="Calibri"/>
            </a:rPr>
            <a:t> Em relação ao estoque da dívida, esse corresponde à posição em dezembro de cada exercício, considerando a previsão das amortizações e das liberações a serem realizadas no respectivo período, estando os valores evidenciados na </a:t>
          </a:r>
          <a:r>
            <a:rPr lang="pt-BR" sz="1000" b="1" i="0" u="none" strike="noStrike" baseline="0">
              <a:solidFill>
                <a:srgbClr val="000000"/>
              </a:solidFill>
              <a:latin typeface="+mn-lt"/>
              <a:cs typeface="Calibri"/>
            </a:rPr>
            <a:t>Tabela 05.</a:t>
          </a:r>
          <a:endParaRPr lang="pt-BR" sz="1000" b="0" i="0" u="none" strike="noStrike" baseline="0">
            <a:solidFill>
              <a:srgbClr val="000000"/>
            </a:solidFill>
            <a:latin typeface="+mn-lt"/>
            <a:cs typeface="Calibri"/>
          </a:endParaRPr>
        </a:p>
        <a:p>
          <a:pPr algn="l" rtl="0">
            <a:lnSpc>
              <a:spcPts val="1000"/>
            </a:lnSpc>
            <a:defRPr sz="1000"/>
          </a:pPr>
          <a:r>
            <a:rPr lang="pt-BR" sz="1100" b="0" i="0" u="none" strike="noStrike" baseline="0">
              <a:solidFill>
                <a:srgbClr val="000000"/>
              </a:solidFill>
              <a:latin typeface="Calibri"/>
              <a:cs typeface="Calibri"/>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28</xdr:row>
      <xdr:rowOff>0</xdr:rowOff>
    </xdr:from>
    <xdr:to>
      <xdr:col>8</xdr:col>
      <xdr:colOff>381000</xdr:colOff>
      <xdr:row>37</xdr:row>
      <xdr:rowOff>66675</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0" y="5743575"/>
          <a:ext cx="8534400" cy="1524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lnSpc>
              <a:spcPts val="1100"/>
            </a:lnSpc>
            <a:defRPr sz="1000"/>
          </a:pPr>
          <a:r>
            <a:rPr lang="pt-BR" sz="1000" b="0" i="0" u="none" strike="noStrike" baseline="0">
              <a:solidFill>
                <a:srgbClr val="000000"/>
              </a:solidFill>
              <a:latin typeface="Calibri"/>
              <a:cs typeface="Calibri"/>
            </a:rPr>
            <a:t>O objetivo deste demonstrativo é estabelecer uma comparação entre as metas fixadas e o resultado obtido no exercício anterior ao da edição da LDO (2023), incluindo análise dos fatores determinantes para o alcance ou não dos valores estabelecidos como metas, visando a atender o disposto no art. 4º, § 2º, inciso I da LRF.</a:t>
          </a:r>
        </a:p>
        <a:p>
          <a:pPr algn="l" rtl="0">
            <a:lnSpc>
              <a:spcPts val="1100"/>
            </a:lnSpc>
            <a:defRPr sz="1000"/>
          </a:pPr>
          <a:r>
            <a:rPr lang="pt-BR" sz="1000" b="0" i="0" u="none" strike="noStrike" baseline="0">
              <a:solidFill>
                <a:srgbClr val="000000"/>
              </a:solidFill>
              <a:latin typeface="Calibri"/>
              <a:cs typeface="Calibri"/>
            </a:rPr>
            <a:t> </a:t>
          </a:r>
        </a:p>
        <a:p>
          <a:pPr algn="l" rtl="0">
            <a:lnSpc>
              <a:spcPts val="1100"/>
            </a:lnSpc>
            <a:defRPr sz="1000"/>
          </a:pPr>
          <a:r>
            <a:rPr lang="pt-BR" sz="1000" b="0" i="0" u="none" strike="noStrike" baseline="0">
              <a:solidFill>
                <a:srgbClr val="000000"/>
              </a:solidFill>
              <a:latin typeface="Calibri"/>
              <a:cs typeface="Calibri"/>
            </a:rPr>
            <a:t>Assim, conforme demonstrado, o resultado primário de 2023  ficou em R$ 1.926.349,06, valor superior à meta estabelecida para o ano, que era de R$ -2.463.661,59.</a:t>
          </a:r>
        </a:p>
        <a:p>
          <a:pPr algn="l" rtl="0">
            <a:lnSpc>
              <a:spcPts val="1100"/>
            </a:lnSpc>
            <a:defRPr sz="1000"/>
          </a:pPr>
          <a:r>
            <a:rPr lang="pt-BR" sz="1000" b="0" i="0" u="none" strike="noStrike" baseline="0">
              <a:solidFill>
                <a:srgbClr val="000000"/>
              </a:solidFill>
              <a:latin typeface="Calibri"/>
              <a:cs typeface="Calibri"/>
            </a:rPr>
            <a:t> </a:t>
          </a:r>
        </a:p>
        <a:p>
          <a:pPr algn="l" rtl="0">
            <a:lnSpc>
              <a:spcPts val="1100"/>
            </a:lnSpc>
            <a:defRPr sz="1000"/>
          </a:pPr>
          <a:r>
            <a:rPr lang="pt-BR" sz="1000" b="0" i="0" u="none" strike="noStrike" baseline="0">
              <a:solidFill>
                <a:srgbClr val="000000"/>
              </a:solidFill>
              <a:latin typeface="Calibri"/>
              <a:cs typeface="Calibri"/>
            </a:rPr>
            <a:t>No anexo de metas fiscais, que acompanhou a LDO para 2023, estipulou-se o montante da dívida fiscal líquida em R$- 2.324.065,58. Contudo, os resultados efetivamente apurados e especificados no Relatório Resumido de Execução Orçamentária, e avaliados ao final daquele exercício apontam que o estoque da dívida, atualizado em dezembro daquele ano era de R$-3.573.862,36.</a:t>
          </a:r>
          <a:endParaRPr lang="pt-BR" sz="1000" b="0" i="0" u="none" strike="noStrike" baseline="0">
            <a:solidFill>
              <a:srgbClr val="000000"/>
            </a:solidFill>
            <a:latin typeface="Arial"/>
            <a:cs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40</xdr:row>
      <xdr:rowOff>1</xdr:rowOff>
    </xdr:from>
    <xdr:to>
      <xdr:col>12</xdr:col>
      <xdr:colOff>9525</xdr:colOff>
      <xdr:row>50</xdr:row>
      <xdr:rowOff>47625</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0" y="6800851"/>
          <a:ext cx="10744200" cy="166687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r>
            <a:rPr lang="pt-BR" sz="1000" b="0" i="0" u="none" strike="noStrike" baseline="0">
              <a:latin typeface="+mn-lt"/>
              <a:ea typeface="+mn-ea"/>
              <a:cs typeface="+mn-cs"/>
            </a:rPr>
            <a:t>Conforme o Manual dos DEmonstrativos Fiscais da STN, o objetivo do Demonstrativo é </a:t>
          </a:r>
          <a:r>
            <a:rPr lang="pt-BR" sz="1000" b="1" i="0" u="none" strike="noStrike" baseline="0">
              <a:latin typeface="+mn-lt"/>
              <a:ea typeface="+mn-ea"/>
              <a:cs typeface="+mn-cs"/>
            </a:rPr>
            <a:t>dar transparência às </a:t>
          </a:r>
          <a:r>
            <a:rPr lang="pt-BR" sz="1000" b="0" i="0" u="none" strike="noStrike" baseline="0">
              <a:latin typeface="+mn-lt"/>
              <a:ea typeface="+mn-ea"/>
              <a:cs typeface="+mn-cs"/>
            </a:rPr>
            <a:t>informações sobre as metas fiscais dos três exercícios anteriores e dos três exercícios seguintes, para uma melhor avaliação da política fiscal , de forma a permitir a análise da política fiscal em uma linha do tempo, combinando execução passada e perspectivas futuras, validando a consistência dessas últimas.  Assim, são demonstradas </a:t>
          </a:r>
          <a:r>
            <a:rPr lang="pt-BR" sz="1000" b="0" i="0" u="none" strike="noStrike" baseline="0">
              <a:solidFill>
                <a:srgbClr val="000000"/>
              </a:solidFill>
              <a:latin typeface="+mn-lt"/>
              <a:cs typeface="Arial"/>
            </a:rPr>
            <a:t>as metas fiscais previstas para o exercício da LDO (2025), em comparação com as estabelecidas para os três exercícios anteriores  (2022, 2023 e 2024), bem como para os dois seguintes (2026 e 2027), referentes à Receita Total, Receitas Não Financeiras, Despesas Não Financeiras, Resultado Primário, Resultado Nominal, Dívida Pública Consolidada e Dívida Consolidada Líquida, cumprindo, assim,  a disposição contida no art. 4º, § 2º, inciso II, da LRF.</a:t>
          </a:r>
        </a:p>
        <a:p>
          <a:pPr algn="l" rtl="0">
            <a:defRPr sz="1000"/>
          </a:pPr>
          <a:endParaRPr lang="pt-BR" sz="1000" b="0" i="0" u="none" strike="noStrike" baseline="0">
            <a:solidFill>
              <a:srgbClr val="000000"/>
            </a:solidFill>
            <a:latin typeface="+mn-lt"/>
            <a:cs typeface="Arial"/>
          </a:endParaRPr>
        </a:p>
        <a:p>
          <a:pPr algn="l" rtl="0">
            <a:defRPr sz="1000"/>
          </a:pPr>
          <a:r>
            <a:rPr lang="pt-BR" sz="1000" b="0" i="0" u="none" strike="noStrike" baseline="0">
              <a:solidFill>
                <a:srgbClr val="000000"/>
              </a:solidFill>
              <a:latin typeface="+mn-lt"/>
              <a:cs typeface="Arial"/>
            </a:rPr>
            <a:t>Os valores relativos às previsões de Receitas, Despesas e Resultado Primário de 2022, 2023 e 2024 foram atualizados pelas respectivas Leis Orçamentárias Anuais. Já os valores da previsão do Resultado Nominal, Dívida Consolidada e Dívida Consolidada Líquida, foram extraídos dos anexos de metas fiscais das respectivas LDO. E no que tange às previsões para os exercícios de 2025, 2026 e 2027, os valores, a metodologia, as premissas utilizadas e a respectiva memória de cálculo são as mesmas utilizadas para o estabelecimento das metas explicitadas no Demonstrativo 1 - de Metas Anuais, evidenciando assim a sua consistência.</a:t>
          </a:r>
        </a:p>
        <a:p>
          <a:pPr algn="l" rtl="0">
            <a:defRPr sz="1000"/>
          </a:pPr>
          <a:endParaRPr lang="pt-BR" sz="1000" b="0" i="0" u="none" strike="noStrike" baseline="0">
            <a:solidFill>
              <a:srgbClr val="000000"/>
            </a:solidFill>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146050</xdr:colOff>
      <xdr:row>29</xdr:row>
      <xdr:rowOff>66675</xdr:rowOff>
    </xdr:from>
    <xdr:to>
      <xdr:col>7</xdr:col>
      <xdr:colOff>3186</xdr:colOff>
      <xdr:row>54</xdr:row>
      <xdr:rowOff>142875</xdr:rowOff>
    </xdr:to>
    <xdr:sp macro="" textlink="">
      <xdr:nvSpPr>
        <xdr:cNvPr id="3073" name="Rectangle 1">
          <a:extLst>
            <a:ext uri="{FF2B5EF4-FFF2-40B4-BE49-F238E27FC236}">
              <a16:creationId xmlns:a16="http://schemas.microsoft.com/office/drawing/2014/main" id="{00000000-0008-0000-0900-0000010C0000}"/>
            </a:ext>
          </a:extLst>
        </xdr:cNvPr>
        <xdr:cNvSpPr>
          <a:spLocks noChangeArrowheads="1"/>
        </xdr:cNvSpPr>
      </xdr:nvSpPr>
      <xdr:spPr bwMode="auto">
        <a:xfrm>
          <a:off x="146050" y="6638925"/>
          <a:ext cx="6391286" cy="41243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r>
            <a:rPr lang="pt-BR" sz="1000">
              <a:effectLst/>
              <a:latin typeface="+mn-lt"/>
              <a:ea typeface="+mn-ea"/>
              <a:cs typeface="+mn-cs"/>
            </a:rPr>
            <a:t>O presente demonstrativo visa a demonstrar a evolução do Patrimônio Líquido nos três exercícios anteriores ao da edição da LDO (2021, 2022 e 2023), para fins do disposto no art. 4º, § 2º, inciso III, da LRF.</a:t>
          </a:r>
        </a:p>
        <a:p>
          <a:r>
            <a:rPr lang="pt-BR" sz="1000">
              <a:effectLst/>
              <a:latin typeface="+mn-lt"/>
              <a:ea typeface="+mn-ea"/>
              <a:cs typeface="+mn-cs"/>
            </a:rPr>
            <a:t> </a:t>
          </a:r>
        </a:p>
        <a:p>
          <a:r>
            <a:rPr lang="pt-BR" sz="1000">
              <a:effectLst/>
              <a:latin typeface="+mn-lt"/>
              <a:ea typeface="+mn-ea"/>
              <a:cs typeface="+mn-cs"/>
            </a:rPr>
            <a:t>Conforme estabelecido pelo Manual de Contabilidade Aplicada ao Setor  Público, o Patrimônio Líquido  representa o valor residual dos ativos da entidade depois de deduzidos todos seus passivos. Integram o Patrimônio Líquido o patrimônio (no caso dos órgãos da administração direta) ou capital social (no caso das empresas estatais), as reservas de capital, os ajustes de avaliação patrimonial, as reservas de lucros, as ações em tesouraria, os resultados acumulados e outros desdobramentos do saldo patrimonial.  Nesse aspecto, cumpre destacar que, na linha “Resultado Acumulado”, </a:t>
          </a:r>
          <a:r>
            <a:rPr lang="pt-BR" sz="1000" b="1">
              <a:effectLst/>
              <a:latin typeface="+mn-lt"/>
              <a:ea typeface="+mn-ea"/>
              <a:cs typeface="+mn-cs"/>
            </a:rPr>
            <a:t>foram considerados os valores de ajustes de exercícios anteriores</a:t>
          </a:r>
          <a:r>
            <a:rPr lang="pt-BR" sz="1000">
              <a:effectLst/>
              <a:latin typeface="+mn-lt"/>
              <a:ea typeface="+mn-ea"/>
              <a:cs typeface="+mn-cs"/>
            </a:rPr>
            <a:t>, os quais, apesar de não terem sido considerados na apuração do resultado do exercício, tiveram influência da variação do saldo do Patrimônio Líquido.</a:t>
          </a:r>
        </a:p>
        <a:p>
          <a:r>
            <a:rPr lang="pt-BR" sz="1000">
              <a:effectLst/>
              <a:latin typeface="+mn-lt"/>
              <a:ea typeface="+mn-ea"/>
              <a:cs typeface="+mn-cs"/>
            </a:rPr>
            <a:t> </a:t>
          </a:r>
        </a:p>
        <a:p>
          <a:r>
            <a:rPr lang="pt-BR" sz="1000">
              <a:effectLst/>
              <a:latin typeface="+mn-lt"/>
              <a:ea typeface="+mn-ea"/>
              <a:cs typeface="+mn-cs"/>
            </a:rPr>
            <a:t> É preciso enfatizar que a Administrão</a:t>
          </a:r>
          <a:r>
            <a:rPr lang="pt-BR" sz="1000" baseline="0">
              <a:effectLst/>
              <a:latin typeface="+mn-lt"/>
              <a:ea typeface="+mn-ea"/>
              <a:cs typeface="+mn-cs"/>
            </a:rPr>
            <a:t> Direta d</a:t>
          </a:r>
          <a:r>
            <a:rPr lang="pt-BR" sz="1000">
              <a:effectLst/>
              <a:latin typeface="+mn-lt"/>
              <a:ea typeface="+mn-ea"/>
              <a:cs typeface="+mn-cs"/>
            </a:rPr>
            <a:t>o Município, bem como</a:t>
          </a:r>
          <a:r>
            <a:rPr lang="pt-BR" sz="1000" baseline="0">
              <a:effectLst/>
              <a:latin typeface="+mn-lt"/>
              <a:ea typeface="+mn-ea"/>
              <a:cs typeface="+mn-cs"/>
            </a:rPr>
            <a:t> as Autarquias e as Fundações Públicas, </a:t>
          </a:r>
          <a:r>
            <a:rPr lang="pt-BR" sz="1000">
              <a:effectLst/>
              <a:latin typeface="+mn-lt"/>
              <a:ea typeface="+mn-ea"/>
              <a:cs typeface="+mn-cs"/>
            </a:rPr>
            <a:t> seguem as normas da Lei Federal nº  4.320/64, não apresentando no seu balanço as nomenclaturas previstas na Lei Federal nº 6.404/76. Assim, em vez de "Resultado Acumulado", o Município utiliza a nomenclatura de "Superávit ou Déficit do Exercício".</a:t>
          </a:r>
        </a:p>
        <a:p>
          <a:pPr>
            <a:lnSpc>
              <a:spcPts val="1200"/>
            </a:lnSpc>
          </a:pPr>
          <a:r>
            <a:rPr lang="pt-BR" sz="1000">
              <a:effectLst/>
              <a:latin typeface="+mn-lt"/>
              <a:ea typeface="+mn-ea"/>
              <a:cs typeface="+mn-cs"/>
            </a:rPr>
            <a:t>  </a:t>
          </a:r>
        </a:p>
        <a:p>
          <a:pPr>
            <a:lnSpc>
              <a:spcPts val="1200"/>
            </a:lnSpc>
          </a:pPr>
          <a:r>
            <a:rPr lang="pt-BR" sz="1000">
              <a:effectLst/>
              <a:latin typeface="+mn-lt"/>
              <a:ea typeface="+mn-ea"/>
              <a:cs typeface="+mn-cs"/>
            </a:rPr>
            <a:t>O Sistema de Previdência, por força da Lei Municipal , está sobre a gestão do Fundo de Previência, sendo que seus registros contábeis estão em conformidade com as Normas do Ministério da Previdência Social e apartados das demais contas do Município.</a:t>
          </a:r>
        </a:p>
        <a:p>
          <a:r>
            <a:rPr lang="pt-BR" sz="1000">
              <a:effectLst/>
              <a:latin typeface="+mn-lt"/>
              <a:ea typeface="+mn-ea"/>
              <a:cs typeface="+mn-cs"/>
            </a:rPr>
            <a:t> </a:t>
          </a:r>
        </a:p>
        <a:p>
          <a:pPr>
            <a:lnSpc>
              <a:spcPts val="1200"/>
            </a:lnSpc>
          </a:pPr>
          <a:r>
            <a:rPr lang="pt-BR" sz="1000">
              <a:effectLst/>
              <a:latin typeface="+mn-lt"/>
              <a:ea typeface="+mn-ea"/>
              <a:cs typeface="+mn-cs"/>
            </a:rPr>
            <a:t> Em termos consolidados, a evolução do Patrimônio Líquido do Município, nos últimos três exercícios, demonstrada para o período de 2021 a 2023, aponta que o saldo patrimonial  decresceu de R$ 28.270.315,20 em 31.12.2021 para R$ 21.989.052,25 em 31.12.2023.   </a:t>
          </a:r>
        </a:p>
        <a:p>
          <a:pPr>
            <a:lnSpc>
              <a:spcPts val="1100"/>
            </a:lnSpc>
          </a:pPr>
          <a:r>
            <a:rPr lang="pt-BR" sz="1000">
              <a:effectLst/>
              <a:latin typeface="+mn-lt"/>
              <a:ea typeface="+mn-ea"/>
              <a:cs typeface="+mn-cs"/>
            </a:rPr>
            <a:t> </a:t>
          </a:r>
        </a:p>
        <a:p>
          <a:r>
            <a:rPr lang="pt-BR" sz="1000">
              <a:effectLst/>
              <a:latin typeface="+mn-lt"/>
              <a:ea typeface="+mn-ea"/>
              <a:cs typeface="+mn-cs"/>
            </a:rPr>
            <a:t>Ainda, conforme pode ser observado, o Município encerrou as contas de 2023 com superavit patrimonial.</a:t>
          </a:r>
          <a:endParaRPr lang="pt-BR" sz="1000" b="0" i="0" u="none" strike="noStrike" baseline="0">
            <a:solidFill>
              <a:srgbClr val="000000"/>
            </a:solidFill>
            <a:latin typeface="Arial"/>
            <a:cs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98424</xdr:colOff>
      <xdr:row>31</xdr:row>
      <xdr:rowOff>124178</xdr:rowOff>
    </xdr:from>
    <xdr:to>
      <xdr:col>3</xdr:col>
      <xdr:colOff>898594</xdr:colOff>
      <xdr:row>42</xdr:row>
      <xdr:rowOff>84666</xdr:rowOff>
    </xdr:to>
    <xdr:sp macro="" textlink="">
      <xdr:nvSpPr>
        <xdr:cNvPr id="11265" name="Rectangle 1">
          <a:extLst>
            <a:ext uri="{FF2B5EF4-FFF2-40B4-BE49-F238E27FC236}">
              <a16:creationId xmlns:a16="http://schemas.microsoft.com/office/drawing/2014/main" id="{00000000-0008-0000-0A00-0000012C0000}"/>
            </a:ext>
          </a:extLst>
        </xdr:cNvPr>
        <xdr:cNvSpPr>
          <a:spLocks noChangeArrowheads="1"/>
        </xdr:cNvSpPr>
      </xdr:nvSpPr>
      <xdr:spPr bwMode="auto">
        <a:xfrm>
          <a:off x="98424" y="5384095"/>
          <a:ext cx="6663337" cy="170673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lnSpc>
              <a:spcPts val="1100"/>
            </a:lnSpc>
            <a:defRPr sz="1000"/>
          </a:pPr>
          <a:r>
            <a:rPr lang="pt-BR" sz="1000" b="0" i="0" u="none" strike="noStrike" baseline="0">
              <a:solidFill>
                <a:srgbClr val="000000"/>
              </a:solidFill>
              <a:latin typeface="+mn-lt"/>
              <a:cs typeface="Arial"/>
            </a:rPr>
            <a:t>O demonstrativo acima tem por objetivo destacar as origens e as aplicações dos recursos obtidos, pelo Município, com a alienação de ativos, ocorridos nos 3 exercícios anteriores ao da edição da LDO  (2021,  2022 e 2023). </a:t>
          </a:r>
        </a:p>
        <a:p>
          <a:pPr algn="l" rtl="0">
            <a:lnSpc>
              <a:spcPts val="1100"/>
            </a:lnSpc>
            <a:defRPr sz="1000"/>
          </a:pPr>
          <a:endParaRPr lang="pt-BR" sz="1000" b="0" i="0" u="none" strike="noStrike" baseline="0">
            <a:solidFill>
              <a:srgbClr val="000000"/>
            </a:solidFill>
            <a:latin typeface="+mn-lt"/>
            <a:cs typeface="Arial"/>
          </a:endParaRPr>
        </a:p>
        <a:p>
          <a:r>
            <a:rPr lang="pt-BR" sz="1000" b="1" i="0" u="none" strike="noStrike" baseline="0">
              <a:solidFill>
                <a:srgbClr val="000000"/>
              </a:solidFill>
              <a:latin typeface="+mn-lt"/>
              <a:cs typeface="Arial"/>
            </a:rPr>
            <a:t>A despesas executadas compreendem as </a:t>
          </a:r>
          <a:r>
            <a:rPr lang="pt-BR" sz="1100" b="1" i="0" u="none" strike="noStrike" baseline="0">
              <a:latin typeface="+mn-lt"/>
              <a:ea typeface="+mn-ea"/>
              <a:cs typeface="+mn-cs"/>
            </a:rPr>
            <a:t>despesas liquidadas somadas às despesas inscritas em  Restos a Pagar Não Processados, por conta dos recursos de alienação de ativos.</a:t>
          </a:r>
          <a:endParaRPr lang="pt-BR" sz="1000" b="1" i="0" u="none" strike="noStrike" baseline="0">
            <a:solidFill>
              <a:srgbClr val="000000"/>
            </a:solidFill>
            <a:latin typeface="+mn-lt"/>
            <a:cs typeface="Arial"/>
          </a:endParaRPr>
        </a:p>
        <a:p>
          <a:pPr algn="l" rtl="0">
            <a:lnSpc>
              <a:spcPts val="1100"/>
            </a:lnSpc>
            <a:defRPr sz="1000"/>
          </a:pPr>
          <a:endParaRPr lang="pt-BR" sz="1000" b="0" i="0" u="none" strike="noStrike" baseline="0">
            <a:solidFill>
              <a:srgbClr val="000000"/>
            </a:solidFill>
            <a:latin typeface="+mn-lt"/>
            <a:cs typeface="Arial"/>
          </a:endParaRPr>
        </a:p>
        <a:p>
          <a:pPr algn="l" rtl="0">
            <a:lnSpc>
              <a:spcPts val="1100"/>
            </a:lnSpc>
            <a:defRPr sz="1000"/>
          </a:pPr>
          <a:r>
            <a:rPr lang="pt-BR" sz="1000" b="0" i="0" u="none" strike="noStrike" baseline="0">
              <a:solidFill>
                <a:srgbClr val="000000"/>
              </a:solidFill>
              <a:latin typeface="+mn-lt"/>
              <a:cs typeface="Arial"/>
            </a:rPr>
            <a:t>Os dados apresentados permitem afirmar que o Município tem aplicado corretamente os recursos obtidos, na forma prescrita pelo art. 44 da Lei de Responsabilidade Fiscal que prescreve que "é vedada a aplicação da receita de capital derivada da alienação de bens e direitos que integram o patrimônio público para o financiamento de despesa corrente, salvo se destinada por lei aos regimes de previdência, geral e próprio dos servidores públicos."</a:t>
          </a:r>
        </a:p>
        <a:p>
          <a:pPr algn="l" rtl="0">
            <a:defRPr sz="1000"/>
          </a:pPr>
          <a:endParaRPr lang="pt-BR" sz="1000" b="0" i="0" u="none" strike="noStrike" baseline="0">
            <a:solidFill>
              <a:srgbClr val="000000"/>
            </a:solidFill>
            <a:latin typeface="+mn-lt"/>
            <a:cs typeface="Arial"/>
          </a:endParaRPr>
        </a:p>
        <a:p>
          <a:pPr algn="l" rtl="0">
            <a:defRPr sz="1000"/>
          </a:pPr>
          <a:endParaRPr lang="pt-BR" sz="1000" b="0" i="0" u="none" strike="noStrike" baseline="0">
            <a:solidFill>
              <a:srgbClr val="000000"/>
            </a:solidFill>
            <a:latin typeface="Arial"/>
            <a:cs typeface="Aria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179</xdr:row>
      <xdr:rowOff>114300</xdr:rowOff>
    </xdr:from>
    <xdr:to>
      <xdr:col>5</xdr:col>
      <xdr:colOff>111134</xdr:colOff>
      <xdr:row>200</xdr:row>
      <xdr:rowOff>133351</xdr:rowOff>
    </xdr:to>
    <xdr:sp macro="" textlink="">
      <xdr:nvSpPr>
        <xdr:cNvPr id="6" name="Rectangle 1">
          <a:extLst>
            <a:ext uri="{FF2B5EF4-FFF2-40B4-BE49-F238E27FC236}">
              <a16:creationId xmlns:a16="http://schemas.microsoft.com/office/drawing/2014/main" id="{00000000-0008-0000-0B00-000006000000}"/>
            </a:ext>
          </a:extLst>
        </xdr:cNvPr>
        <xdr:cNvSpPr>
          <a:spLocks noChangeArrowheads="1"/>
        </xdr:cNvSpPr>
      </xdr:nvSpPr>
      <xdr:spPr bwMode="auto">
        <a:xfrm>
          <a:off x="28575" y="26279475"/>
          <a:ext cx="6892934" cy="301942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r>
            <a:rPr lang="pt-BR" sz="1000">
              <a:effectLst/>
              <a:latin typeface="+mn-lt"/>
              <a:ea typeface="+mn-ea"/>
              <a:cs typeface="+mn-cs"/>
            </a:rPr>
            <a:t>Este demonstrativo, visa a atender o estabelecido no art. 4°, § 2°, inciso IV, alínea “a”, da Lei de Responsabilidade Fiscal – LRF, o qual determina que o Anexo de Metas Fiscais conterá a avaliação da situação financeira e atuarial do Regime Próprio de Previdência dos Servidores – RPPS.</a:t>
          </a:r>
          <a:r>
            <a:rPr lang="pt-BR" sz="1000" b="0" i="0" u="none" strike="noStrike" baseline="0">
              <a:latin typeface="+mn-lt"/>
              <a:ea typeface="+mn-ea"/>
              <a:cs typeface="+mn-cs"/>
            </a:rPr>
            <a:t>O objetivo principal é dar transparência à situação financeira e atuarial do RPPS para uma melhor avaliação do seu impacto nas metas fiscais fixadas, além de orientar a elaboração da LOA.</a:t>
          </a:r>
          <a:endParaRPr lang="pt-BR" sz="1000">
            <a:effectLst/>
            <a:latin typeface="+mn-lt"/>
            <a:ea typeface="+mn-ea"/>
            <a:cs typeface="+mn-cs"/>
          </a:endParaRPr>
        </a:p>
        <a:p>
          <a:r>
            <a:rPr lang="pt-BR" sz="1000">
              <a:effectLst/>
              <a:latin typeface="+mn-lt"/>
              <a:ea typeface="+mn-ea"/>
              <a:cs typeface="+mn-cs"/>
            </a:rPr>
            <a:t> </a:t>
          </a:r>
        </a:p>
        <a:p>
          <a:r>
            <a:rPr lang="pt-BR" sz="1000">
              <a:effectLst/>
              <a:latin typeface="+mn-lt"/>
              <a:ea typeface="+mn-ea"/>
              <a:cs typeface="+mn-cs"/>
            </a:rPr>
            <a:t>Segundo a Portaria MTP 1.467/2022 o equilíbrio financeiro representa a garantia de equivalência entre as receitas auferidas e as obrigações dos RPPS, em cada exercício financeiro, ou seja, o equilíbrio financeiro é atingido quando o que se arrecada dos participantes do sistema previdenciário é suficiente para custear os benefícios por ele assegurados. </a:t>
          </a:r>
        </a:p>
        <a:p>
          <a:pPr>
            <a:lnSpc>
              <a:spcPts val="1100"/>
            </a:lnSpc>
          </a:pPr>
          <a:r>
            <a:rPr lang="pt-BR" sz="1000">
              <a:effectLst/>
              <a:latin typeface="+mn-lt"/>
              <a:ea typeface="+mn-ea"/>
              <a:cs typeface="+mn-cs"/>
            </a:rPr>
            <a:t> </a:t>
          </a:r>
        </a:p>
        <a:p>
          <a:pPr>
            <a:lnSpc>
              <a:spcPts val="1100"/>
            </a:lnSpc>
          </a:pPr>
          <a:r>
            <a:rPr lang="pt-BR" sz="1000">
              <a:effectLst/>
              <a:latin typeface="+mn-lt"/>
              <a:ea typeface="+mn-ea"/>
              <a:cs typeface="+mn-cs"/>
            </a:rPr>
            <a:t>O equilíbrio atuarial, por sua vez, representa a garantia de equivalência, a valor presente, entre o fluxo das receitas estimadas e das obrigações projetadas, apuradas atuarialmente, a longo prazo, devendo as alíquotas de contribuição do sistema ser definidas a partir do cálculo atuarial que leve em consideração uma série de critérios, como a expectativa de vida dos segurados e o valor dos benefícios de responsabilidade do respectivo RPPS, segundo a sua legislação.</a:t>
          </a:r>
        </a:p>
        <a:p>
          <a:r>
            <a:rPr lang="pt-BR" sz="1000">
              <a:effectLst/>
              <a:latin typeface="+mn-lt"/>
              <a:ea typeface="+mn-ea"/>
              <a:cs typeface="+mn-cs"/>
            </a:rPr>
            <a:t> </a:t>
          </a:r>
        </a:p>
        <a:p>
          <a:r>
            <a:rPr lang="pt-BR" sz="1000">
              <a:effectLst/>
              <a:latin typeface="+mn-lt"/>
              <a:ea typeface="+mn-ea"/>
              <a:cs typeface="+mn-cs"/>
            </a:rPr>
            <a:t>Nesse contexto, os dados acima apresentados tiveram em como base:</a:t>
          </a:r>
        </a:p>
        <a:p>
          <a:r>
            <a:rPr lang="pt-BR" sz="1000">
              <a:effectLst/>
              <a:latin typeface="+mn-lt"/>
              <a:ea typeface="+mn-ea"/>
              <a:cs typeface="+mn-cs"/>
            </a:rPr>
            <a:t>a) o Anexo 4 do Relatório Resumido da Execução Orçamentária (RGF) - Demonstrativo das Receitas e Despesas Previdenciárias do Regime Próprio de Previdência dos Servidores, publicado no último bimestre dos exercícios de 2021, 2022 e 2023; e</a:t>
          </a:r>
        </a:p>
        <a:p>
          <a:pPr>
            <a:lnSpc>
              <a:spcPts val="1100"/>
            </a:lnSpc>
          </a:pPr>
          <a:r>
            <a:rPr lang="pt-BR" sz="1000">
              <a:effectLst/>
              <a:latin typeface="+mn-lt"/>
              <a:ea typeface="+mn-ea"/>
              <a:cs typeface="+mn-cs"/>
            </a:rPr>
            <a:t>b) o Anexo 10 do Relatório Resumido da Execução Orçamentária (RREO) - Demonstrativo da Projeção Atuarial do Regime de Previdência, publicado no último bimestre do exercício de 2023.</a:t>
          </a:r>
        </a:p>
        <a:p>
          <a:pPr>
            <a:lnSpc>
              <a:spcPts val="1100"/>
            </a:lnSpc>
          </a:pPr>
          <a:r>
            <a:rPr lang="pt-BR" sz="1000">
              <a:effectLst/>
              <a:latin typeface="+mn-lt"/>
              <a:ea typeface="+mn-ea"/>
              <a:cs typeface="+mn-cs"/>
            </a:rPr>
            <a:t> </a:t>
          </a:r>
        </a:p>
        <a:p>
          <a:pPr algn="l" rtl="0">
            <a:lnSpc>
              <a:spcPts val="800"/>
            </a:lnSpc>
            <a:defRPr sz="1000"/>
          </a:pPr>
          <a:endParaRPr lang="pt-BR" sz="10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andreia\Documents\NOVA%20PADUA\PPA%20LDO%20E%20LOA\LDO%202023\Anexos%20I-%20II-%20IV%20da%20LDO%202023%20Nova%20%20Padua.xls" TargetMode="External"/><Relationship Id="rId1" Type="http://schemas.openxmlformats.org/officeDocument/2006/relationships/externalLinkPath" Target="/andreia/Documents/NOVA%20PADUA/PPA%20LDO%20E%20LOA/LDO%202023/Anexos%20I-%20II-%20IV%20da%20LDO%202023%20Nova%20%20Padua.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andreia\Documents\NOVA%20PADUA\PPA%20LDO%20E%20LOA\LDO%202022\ULTIMA%20VERSAO\Anexos%20I-%20II-%20IV%20da%20LDO%202022%20Nova%20%20Padua%20ok.xls" TargetMode="External"/><Relationship Id="rId1" Type="http://schemas.openxmlformats.org/officeDocument/2006/relationships/externalLinkPath" Target="/andreia/Documents/NOVA%20PADUA/PPA%20LDO%20E%20LOA/LDO%202022/ULTIMA%20VERSAO/Anexos%20I-%20II-%20IV%20da%20LDO%202022%20Nova%20%20Padua%20ok.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F:\andreia\Documents\NOVA%20PADUA\PPA%20LDO%20E%20LOA\LDO%202024\Anexos%20da%20LDO%20-%202024-996.xls" TargetMode="External"/><Relationship Id="rId1" Type="http://schemas.openxmlformats.org/officeDocument/2006/relationships/externalLinkPath" Target="/andreia/Documents/NOVA%20PADUA/PPA%20LDO%20E%20LOA/LDO%202024/Anexos%20da%20LDO%20-%202024-9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râmetros"/>
      <sheetName val="Projeções"/>
      <sheetName val="RCL"/>
      <sheetName val="Pessoal"/>
      <sheetName val="Dívida"/>
      <sheetName val="RPrim-Nom"/>
      <sheetName val="Metas Cons"/>
      <sheetName val="MetasRPPS"/>
      <sheetName val=" Avaliação"/>
      <sheetName val="Comparação"/>
      <sheetName val=" Patrimônio"/>
      <sheetName val=" Alienação"/>
      <sheetName val="RPPS-Fin-Atuarial"/>
      <sheetName val="Renúncia"/>
      <sheetName val="DOCC"/>
      <sheetName val="DOCC(alternativa)"/>
      <sheetName val="Anexo Riscos"/>
      <sheetName val="Anexo IV - Cons do Patrimônio"/>
    </sheetNames>
    <sheetDataSet>
      <sheetData sheetId="0" refreshError="1"/>
      <sheetData sheetId="1" refreshError="1"/>
      <sheetData sheetId="2" refreshError="1"/>
      <sheetData sheetId="3" refreshError="1"/>
      <sheetData sheetId="4" refreshError="1"/>
      <sheetData sheetId="5" refreshError="1"/>
      <sheetData sheetId="6">
        <row r="12">
          <cell r="B12">
            <v>24491506.823908515</v>
          </cell>
        </row>
        <row r="13">
          <cell r="B13">
            <v>23199509.063908517</v>
          </cell>
        </row>
        <row r="20">
          <cell r="B20">
            <v>25800000.003469437</v>
          </cell>
        </row>
        <row r="21">
          <cell r="B21">
            <v>25271555.319469441</v>
          </cell>
        </row>
        <row r="32">
          <cell r="B32">
            <v>746666.66399999987</v>
          </cell>
        </row>
        <row r="33">
          <cell r="B33">
            <v>-2324065.5810000002</v>
          </cell>
        </row>
      </sheetData>
      <sheetData sheetId="7">
        <row r="12">
          <cell r="B12">
            <v>3151999.9970000004</v>
          </cell>
        </row>
        <row r="13">
          <cell r="B13">
            <v>1942099.4970000004</v>
          </cell>
        </row>
        <row r="14">
          <cell r="B14">
            <v>3202484.1667340919</v>
          </cell>
        </row>
        <row r="15">
          <cell r="B15">
            <v>1550484.1667340919</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râmetros"/>
      <sheetName val="Projeções"/>
      <sheetName val="RCL"/>
      <sheetName val="Pessoal"/>
      <sheetName val="Dívida"/>
      <sheetName val="RPrim-Nom"/>
      <sheetName val="Metas Cons"/>
      <sheetName val="MetasRPPS"/>
      <sheetName val=" Avaliação"/>
      <sheetName val="Comparação"/>
      <sheetName val=" Patrimônio"/>
      <sheetName val=" Alienação"/>
      <sheetName val="RPPS-Fin-Atuarial"/>
      <sheetName val="Renúncia"/>
      <sheetName val="DOCC"/>
      <sheetName val="DOCC(alternativa)"/>
      <sheetName val="Anexo Riscos"/>
      <sheetName val="Anexo IV - Cons do Patrimônio"/>
    </sheetNames>
    <sheetDataSet>
      <sheetData sheetId="0" refreshError="1"/>
      <sheetData sheetId="1" refreshError="1"/>
      <sheetData sheetId="2" refreshError="1"/>
      <sheetData sheetId="3" refreshError="1"/>
      <sheetData sheetId="4" refreshError="1"/>
      <sheetData sheetId="5" refreshError="1"/>
      <sheetData sheetId="6">
        <row r="12">
          <cell r="B12">
            <v>19250972.737047315</v>
          </cell>
        </row>
        <row r="13">
          <cell r="B13">
            <v>18518910.927047316</v>
          </cell>
        </row>
        <row r="20">
          <cell r="B20">
            <v>20399999.995124649</v>
          </cell>
        </row>
        <row r="21">
          <cell r="B21">
            <v>20159999.995124649</v>
          </cell>
        </row>
        <row r="32">
          <cell r="B32">
            <v>974800</v>
          </cell>
        </row>
        <row r="33">
          <cell r="B33">
            <v>-998832.0149999999</v>
          </cell>
        </row>
      </sheetData>
      <sheetData sheetId="7">
        <row r="12">
          <cell r="B12">
            <v>2410250.0700000003</v>
          </cell>
        </row>
        <row r="13">
          <cell r="B13">
            <v>1710250.0700000003</v>
          </cell>
        </row>
        <row r="14">
          <cell r="B14">
            <v>2410250.0700000003</v>
          </cell>
        </row>
        <row r="15">
          <cell r="B15">
            <v>1170582.0947310159</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râmetros"/>
      <sheetName val="Projeções"/>
      <sheetName val="Projeções - RPPS"/>
      <sheetName val="RCL"/>
      <sheetName val="Pessoal"/>
      <sheetName val="Dívida"/>
      <sheetName val=" Dem-1-Metas"/>
      <sheetName val="Dem-1A-Metas RPPS"/>
      <sheetName val=" Dem-2-Avalia"/>
      <sheetName val="Dem-3-Comp"/>
      <sheetName val="Dem-4-Patr"/>
      <sheetName val="Dem-5-Alien"/>
      <sheetName val="Dem-6-RPPS"/>
      <sheetName val="Dem-7-Renúnci"/>
      <sheetName val="Dem-8-Docc"/>
      <sheetName val="Anexo Riscos"/>
      <sheetName val="Anexo IV - Cons do Patrimônio"/>
    </sheetNames>
    <sheetDataSet>
      <sheetData sheetId="0" refreshError="1"/>
      <sheetData sheetId="1" refreshError="1"/>
      <sheetData sheetId="2" refreshError="1"/>
      <sheetData sheetId="3" refreshError="1"/>
      <sheetData sheetId="4" refreshError="1"/>
      <sheetData sheetId="5" refreshError="1"/>
      <sheetData sheetId="6">
        <row r="11">
          <cell r="B11">
            <v>25600000.001137622</v>
          </cell>
        </row>
        <row r="12">
          <cell r="B12">
            <v>25251831.45607679</v>
          </cell>
        </row>
        <row r="18">
          <cell r="B18">
            <v>25600000.001155589</v>
          </cell>
        </row>
        <row r="19">
          <cell r="B19">
            <v>25188729.091565408</v>
          </cell>
        </row>
        <row r="26">
          <cell r="B26">
            <v>389386.74772799993</v>
          </cell>
        </row>
        <row r="27">
          <cell r="B27">
            <v>-3074622.0489386674</v>
          </cell>
        </row>
        <row r="28">
          <cell r="B28">
            <v>-482133.06893866695</v>
          </cell>
        </row>
      </sheetData>
      <sheetData sheetId="7">
        <row r="11">
          <cell r="B11">
            <v>4000000</v>
          </cell>
        </row>
        <row r="12">
          <cell r="B12">
            <v>1926004.83</v>
          </cell>
        </row>
        <row r="13">
          <cell r="B13">
            <v>1853508.4633703877</v>
          </cell>
        </row>
        <row r="14">
          <cell r="B14">
            <v>1853508.4633703877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9F5AC-685F-48C0-85D4-B6B9CA199DFF}">
  <sheetPr codeName="Plan7"/>
  <dimension ref="A1:J26"/>
  <sheetViews>
    <sheetView showGridLines="0" topLeftCell="A7" zoomScale="120" zoomScaleNormal="100" zoomScaleSheetLayoutView="70" workbookViewId="0">
      <selection activeCell="A8" sqref="A8:J8"/>
    </sheetView>
  </sheetViews>
  <sheetFormatPr defaultColWidth="8.85546875" defaultRowHeight="12" x14ac:dyDescent="0.2"/>
  <cols>
    <col min="1" max="1" width="63.85546875" style="26" customWidth="1"/>
    <col min="2" max="2" width="13.85546875" style="26" customWidth="1"/>
    <col min="3" max="3" width="13.5703125" style="26" customWidth="1"/>
    <col min="4" max="4" width="13" style="26" customWidth="1"/>
    <col min="5" max="5" width="14.5703125" style="26" customWidth="1"/>
    <col min="6" max="6" width="15.85546875" style="26" customWidth="1"/>
    <col min="7" max="7" width="15.140625" style="26" customWidth="1"/>
    <col min="8" max="16384" width="8.85546875" style="26"/>
  </cols>
  <sheetData>
    <row r="1" spans="1:10" hidden="1" x14ac:dyDescent="0.2"/>
    <row r="2" spans="1:10" hidden="1" x14ac:dyDescent="0.2"/>
    <row r="3" spans="1:10" hidden="1" x14ac:dyDescent="0.2"/>
    <row r="4" spans="1:10" hidden="1" x14ac:dyDescent="0.2"/>
    <row r="5" spans="1:10" hidden="1" x14ac:dyDescent="0.2"/>
    <row r="6" spans="1:10" ht="16.149999999999999" hidden="1" customHeight="1" x14ac:dyDescent="0.2"/>
    <row r="7" spans="1:10" x14ac:dyDescent="0.2">
      <c r="A7" s="455" t="s">
        <v>615</v>
      </c>
      <c r="B7" s="456"/>
      <c r="C7" s="456"/>
      <c r="D7" s="456"/>
      <c r="E7" s="456"/>
      <c r="F7" s="456"/>
      <c r="G7" s="456"/>
      <c r="H7" s="456"/>
      <c r="I7" s="456"/>
      <c r="J7" s="457"/>
    </row>
    <row r="8" spans="1:10" x14ac:dyDescent="0.2">
      <c r="A8" s="458" t="s">
        <v>0</v>
      </c>
      <c r="B8" s="456"/>
      <c r="C8" s="456"/>
      <c r="D8" s="456"/>
      <c r="E8" s="456"/>
      <c r="F8" s="456"/>
      <c r="G8" s="456"/>
      <c r="H8" s="456"/>
      <c r="I8" s="456"/>
      <c r="J8" s="457"/>
    </row>
    <row r="9" spans="1:10" ht="21" customHeight="1" x14ac:dyDescent="0.2">
      <c r="A9" s="459" t="s">
        <v>1</v>
      </c>
      <c r="B9" s="460"/>
      <c r="C9" s="460"/>
      <c r="D9" s="460"/>
      <c r="E9" s="460"/>
      <c r="F9" s="460"/>
      <c r="G9" s="460"/>
      <c r="H9" s="461"/>
      <c r="I9" s="461"/>
      <c r="J9" s="462"/>
    </row>
    <row r="10" spans="1:10" ht="25.5" customHeight="1" x14ac:dyDescent="0.2">
      <c r="A10" s="75" t="s">
        <v>2</v>
      </c>
      <c r="B10" s="75">
        <v>2022</v>
      </c>
      <c r="C10" s="75">
        <f>B10+1</f>
        <v>2023</v>
      </c>
      <c r="D10" s="75">
        <f>C10+1</f>
        <v>2024</v>
      </c>
      <c r="E10" s="75">
        <f>D10+1</f>
        <v>2025</v>
      </c>
      <c r="F10" s="75">
        <f>E10+1</f>
        <v>2026</v>
      </c>
      <c r="G10" s="75">
        <f>F10+1</f>
        <v>2027</v>
      </c>
      <c r="H10" s="27"/>
      <c r="I10" s="27"/>
      <c r="J10" s="27"/>
    </row>
    <row r="11" spans="1:10" ht="12.75" x14ac:dyDescent="0.2">
      <c r="A11" s="326" t="s">
        <v>3</v>
      </c>
      <c r="B11" s="76">
        <v>5.7799999999999997E-2</v>
      </c>
      <c r="C11" s="77">
        <v>5.8000000000000003E-2</v>
      </c>
      <c r="D11" s="77">
        <v>4.5999999999999999E-2</v>
      </c>
      <c r="E11" s="80">
        <v>0.04</v>
      </c>
      <c r="F11" s="80">
        <v>0.04</v>
      </c>
      <c r="G11" s="80">
        <v>0.04</v>
      </c>
    </row>
    <row r="12" spans="1:10" ht="12.75" x14ac:dyDescent="0.2">
      <c r="A12" s="326" t="s">
        <v>4</v>
      </c>
      <c r="B12" s="76">
        <v>2.9000000000000001E-2</v>
      </c>
      <c r="C12" s="77">
        <v>1.2E-2</v>
      </c>
      <c r="D12" s="77">
        <v>2.5000000000000001E-2</v>
      </c>
      <c r="E12" s="80">
        <v>0.02</v>
      </c>
      <c r="F12" s="80">
        <v>0.02</v>
      </c>
      <c r="G12" s="80">
        <v>0.02</v>
      </c>
    </row>
    <row r="13" spans="1:10" ht="12.75" x14ac:dyDescent="0.2">
      <c r="A13" s="327" t="s">
        <v>5</v>
      </c>
      <c r="B13" s="77">
        <f>IF(Projeções!D116=0,"0",((Projeções!E116/Projeções!D116)-1)-B11-B18)</f>
        <v>-0.12229003130008956</v>
      </c>
      <c r="C13" s="77">
        <f>IF(Projeções!E116=0,"0",((Projeções!F116/Projeções!E116)-1)-C11-C18)</f>
        <v>0.33214424985430707</v>
      </c>
      <c r="D13" s="77">
        <f>IF(Projeções!F116=0,"0",((Projeções!G116/Projeções!F116)-1)-D11-D18)</f>
        <v>7.0877535694110969E-2</v>
      </c>
      <c r="E13" s="77">
        <f t="shared" ref="E13:G20" si="0">(B13+C13+D13)/3</f>
        <v>9.3577251416109494E-2</v>
      </c>
      <c r="F13" s="77">
        <f t="shared" si="0"/>
        <v>0.16553301232150919</v>
      </c>
      <c r="G13" s="77">
        <f t="shared" si="0"/>
        <v>0.10999593314390987</v>
      </c>
    </row>
    <row r="14" spans="1:10" ht="12.75" x14ac:dyDescent="0.2">
      <c r="A14" s="328" t="s">
        <v>6</v>
      </c>
      <c r="B14" s="77">
        <f>IF(Projeções!D126=0,"0",((Projeções!E126/Projeções!D126)-1)-B11-B12)</f>
        <v>0.17632999107727354</v>
      </c>
      <c r="C14" s="77">
        <f>IF(Projeções!E126=0,"0",((Projeções!F126/Projeções!E126)-1)-C11-C12)</f>
        <v>0.28033366880371952</v>
      </c>
      <c r="D14" s="77">
        <f>IF(Projeções!F126=0,"0",((Projeções!G126/Projeções!F126)-1)-D11-D12)</f>
        <v>8.9114664494953158E-3</v>
      </c>
      <c r="E14" s="77">
        <f t="shared" si="0"/>
        <v>0.15519170877682945</v>
      </c>
      <c r="F14" s="77">
        <f t="shared" si="0"/>
        <v>0.14814561467668141</v>
      </c>
      <c r="G14" s="77">
        <f t="shared" si="0"/>
        <v>0.10408292996766873</v>
      </c>
    </row>
    <row r="15" spans="1:10" ht="12.75" x14ac:dyDescent="0.2">
      <c r="A15" s="328" t="s">
        <v>7</v>
      </c>
      <c r="B15" s="77">
        <f>IF(Projeções!D9=0,"0",((Projeções!E9/Projeções!D9)-1)-B11-B12)</f>
        <v>-7.0270889387745741E-2</v>
      </c>
      <c r="C15" s="77">
        <f>IF(Projeções!E9=0,"0",((Projeções!F9/Projeções!E9)-1)-C11-C12)</f>
        <v>0.54159516924495188</v>
      </c>
      <c r="D15" s="77">
        <f>IF(Projeções!F9=0,"0",((Projeções!G9/Projeções!F9)-1)-D11-D12)</f>
        <v>1.6430603164756481E-2</v>
      </c>
      <c r="E15" s="77">
        <f t="shared" si="0"/>
        <v>0.16258496100732087</v>
      </c>
      <c r="F15" s="77">
        <f t="shared" si="0"/>
        <v>0.24020357780567644</v>
      </c>
      <c r="G15" s="77">
        <f t="shared" si="0"/>
        <v>0.13973971399258459</v>
      </c>
    </row>
    <row r="16" spans="1:10" ht="12.75" x14ac:dyDescent="0.2">
      <c r="A16" s="328" t="s">
        <v>8</v>
      </c>
      <c r="B16" s="77">
        <f>IF(Projeções!D38=0,"0",((Projeções!E38/Projeções!D38)-1)-B11-B12)</f>
        <v>0.11765532522354816</v>
      </c>
      <c r="C16" s="77">
        <f>IF(Projeções!E38=0,"0",((Projeções!F38/Projeções!E38)-1)-C11-C12)</f>
        <v>0.26962549367078475</v>
      </c>
      <c r="D16" s="77">
        <f>IF(Projeções!F38=0,"0",((Projeções!G38/Projeções!F38)-1)-D11-D12)</f>
        <v>4.3157501408470363E-2</v>
      </c>
      <c r="E16" s="77">
        <f t="shared" si="0"/>
        <v>0.14347944010093441</v>
      </c>
      <c r="F16" s="77">
        <f t="shared" si="0"/>
        <v>0.15208747839339651</v>
      </c>
      <c r="G16" s="77">
        <f t="shared" si="0"/>
        <v>0.11290813996760042</v>
      </c>
    </row>
    <row r="17" spans="1:7" ht="12.75" x14ac:dyDescent="0.2">
      <c r="A17" s="328" t="s">
        <v>9</v>
      </c>
      <c r="B17" s="77">
        <f>IF(Projeções!D50=0,"0",((Projeções!E50/Projeções!D50)-1)-B11-B12)</f>
        <v>0.13264625180704348</v>
      </c>
      <c r="C17" s="77">
        <f>IF(Projeções!E50=0,"0",((Projeções!F50/Projeções!E50)-1)-C11-C12)</f>
        <v>4.6776808818026983E-2</v>
      </c>
      <c r="D17" s="77">
        <f>IF(Projeções!F50=0,"0",((Projeções!G50/Projeções!F50)-1)-D11-D12)</f>
        <v>-0.13858506902105799</v>
      </c>
      <c r="E17" s="77">
        <f t="shared" si="0"/>
        <v>1.3612663868004157E-2</v>
      </c>
      <c r="F17" s="77">
        <f t="shared" si="0"/>
        <v>-2.6065198778342288E-2</v>
      </c>
      <c r="G17" s="77">
        <f t="shared" si="0"/>
        <v>-5.0345867977132037E-2</v>
      </c>
    </row>
    <row r="18" spans="1:7" s="156" customFormat="1" ht="12.75" x14ac:dyDescent="0.2">
      <c r="A18" s="326" t="s">
        <v>10</v>
      </c>
      <c r="B18" s="154">
        <v>0</v>
      </c>
      <c r="C18" s="154">
        <v>0</v>
      </c>
      <c r="D18" s="154">
        <v>0</v>
      </c>
      <c r="E18" s="155">
        <v>0</v>
      </c>
      <c r="F18" s="155">
        <v>0</v>
      </c>
      <c r="G18" s="155">
        <v>0</v>
      </c>
    </row>
    <row r="19" spans="1:7" s="156" customFormat="1" ht="12.75" x14ac:dyDescent="0.2">
      <c r="A19" s="326" t="s">
        <v>11</v>
      </c>
      <c r="B19" s="154">
        <v>0</v>
      </c>
      <c r="C19" s="154">
        <v>0</v>
      </c>
      <c r="D19" s="154">
        <v>0</v>
      </c>
      <c r="E19" s="154">
        <v>0</v>
      </c>
      <c r="F19" s="154">
        <v>0</v>
      </c>
      <c r="G19" s="154">
        <v>0</v>
      </c>
    </row>
    <row r="20" spans="1:7" ht="12.75" x14ac:dyDescent="0.2">
      <c r="A20" s="329" t="s">
        <v>12</v>
      </c>
      <c r="B20" s="77">
        <f>IF(Projeções!D132=0,"0",((Projeções!E132/Projeções!D132)-1)-B11-B12)</f>
        <v>1.5082339381989309</v>
      </c>
      <c r="C20" s="77">
        <f>IF(Projeções!E132=0,"0",((Projeções!F132/Projeções!E132)-1)-C11-C12)</f>
        <v>-3.1380792293335645E-3</v>
      </c>
      <c r="D20" s="77">
        <f>IF(Projeções!F132=0,"0",((Projeções!G132/Projeções!F132)-1)-D11-D12)</f>
        <v>-0.13259334534998973</v>
      </c>
      <c r="E20" s="77">
        <f t="shared" si="0"/>
        <v>0.45750083787320256</v>
      </c>
      <c r="F20" s="77">
        <f t="shared" si="0"/>
        <v>0.10725647109795976</v>
      </c>
      <c r="G20" s="77">
        <f t="shared" si="0"/>
        <v>0.14405465454039088</v>
      </c>
    </row>
    <row r="21" spans="1:7" ht="12.75" x14ac:dyDescent="0.2">
      <c r="A21" s="329" t="s">
        <v>13</v>
      </c>
      <c r="B21" s="78">
        <v>9.1499999999999998E-2</v>
      </c>
      <c r="C21" s="78">
        <v>0.13650000000000001</v>
      </c>
      <c r="D21" s="77">
        <v>0.125</v>
      </c>
      <c r="E21" s="80">
        <v>0.1</v>
      </c>
      <c r="F21" s="80">
        <v>0.09</v>
      </c>
      <c r="G21" s="80">
        <v>8.7499999999999994E-2</v>
      </c>
    </row>
    <row r="22" spans="1:7" ht="12.75" x14ac:dyDescent="0.2">
      <c r="A22" s="329" t="s">
        <v>14</v>
      </c>
      <c r="B22" s="79">
        <v>5.39</v>
      </c>
      <c r="C22" s="79">
        <v>5.16</v>
      </c>
      <c r="D22" s="79">
        <v>5.15</v>
      </c>
      <c r="E22" s="79">
        <v>5.2</v>
      </c>
      <c r="F22" s="79">
        <v>5.2</v>
      </c>
      <c r="G22" s="79">
        <v>5.274</v>
      </c>
    </row>
    <row r="23" spans="1:7" ht="14.25" x14ac:dyDescent="0.2">
      <c r="A23" s="28"/>
      <c r="B23" s="28"/>
      <c r="C23" s="11"/>
      <c r="D23" s="11"/>
      <c r="E23" s="11"/>
      <c r="F23" s="11"/>
      <c r="G23" s="11"/>
    </row>
    <row r="24" spans="1:7" x14ac:dyDescent="0.2">
      <c r="A24" s="453"/>
      <c r="B24" s="454"/>
      <c r="C24" s="454"/>
      <c r="D24" s="454"/>
      <c r="E24" s="454"/>
      <c r="F24" s="454"/>
      <c r="G24" s="454"/>
    </row>
    <row r="25" spans="1:7" x14ac:dyDescent="0.2">
      <c r="A25" s="454"/>
      <c r="B25" s="454"/>
      <c r="C25" s="454"/>
      <c r="D25" s="454"/>
      <c r="E25" s="454"/>
      <c r="F25" s="454"/>
      <c r="G25" s="454"/>
    </row>
    <row r="26" spans="1:7" x14ac:dyDescent="0.2">
      <c r="A26" s="454"/>
      <c r="B26" s="454"/>
      <c r="C26" s="454"/>
      <c r="D26" s="454"/>
      <c r="E26" s="454"/>
      <c r="F26" s="454"/>
      <c r="G26" s="454"/>
    </row>
  </sheetData>
  <customSheetViews>
    <customSheetView guid="{16B3F100-CCE8-11D8-BD62-000C6E3CD3F1}" scale="75" showGridLines="0" hiddenRows="1" hiddenColumns="1" showRuler="0" topLeftCell="A7">
      <selection activeCell="B30" sqref="B30"/>
      <pageMargins left="0" right="0" top="0" bottom="0" header="0" footer="0"/>
      <pageSetup orientation="portrait" horizontalDpi="300" r:id="rId1"/>
      <headerFooter alignWithMargins="0"/>
    </customSheetView>
  </customSheetViews>
  <mergeCells count="4">
    <mergeCell ref="A24:G26"/>
    <mergeCell ref="A7:J7"/>
    <mergeCell ref="A8:J8"/>
    <mergeCell ref="A9:J9"/>
  </mergeCells>
  <phoneticPr fontId="21" type="noConversion"/>
  <printOptions gridLines="1"/>
  <pageMargins left="0" right="0" top="0.39370078740157483" bottom="0.19685039370078741" header="0.51181102362204722" footer="0.51181102362204722"/>
  <pageSetup paperSize="9" scale="70" orientation="landscape" horizontalDpi="300" verticalDpi="300" r:id="rId2"/>
  <headerFooter alignWithMargins="0"/>
  <colBreaks count="1" manualBreakCount="1">
    <brk id="8" max="1048575" man="1"/>
  </col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E9F6C-C722-42C3-99EA-9A464FB43CA3}">
  <sheetPr codeName="Plan14"/>
  <dimension ref="A1:I43"/>
  <sheetViews>
    <sheetView topLeftCell="A16" zoomScaleNormal="95" zoomScaleSheetLayoutView="90" workbookViewId="0">
      <selection activeCell="B28" sqref="B28"/>
    </sheetView>
  </sheetViews>
  <sheetFormatPr defaultRowHeight="12.75" x14ac:dyDescent="0.2"/>
  <cols>
    <col min="1" max="1" width="26.7109375" style="9" customWidth="1"/>
    <col min="2" max="2" width="14.140625" style="9" customWidth="1"/>
    <col min="3" max="3" width="10.140625" style="9" customWidth="1"/>
    <col min="4" max="4" width="13.85546875" style="9" customWidth="1"/>
    <col min="5" max="5" width="10.42578125" style="9" customWidth="1"/>
    <col min="6" max="6" width="13.28515625" style="9" customWidth="1"/>
    <col min="7" max="7" width="9.42578125" style="9" customWidth="1"/>
    <col min="8" max="8" width="9.140625" style="9"/>
    <col min="9" max="9" width="14.42578125" style="9" customWidth="1"/>
    <col min="10" max="16384" width="9.140625" style="9"/>
  </cols>
  <sheetData>
    <row r="1" spans="1:7" x14ac:dyDescent="0.2">
      <c r="A1" s="575" t="str">
        <f>Parâmetros!A7</f>
        <v>Município de :   NOVA PÁDUA</v>
      </c>
      <c r="B1" s="576"/>
      <c r="C1" s="576"/>
      <c r="D1" s="576"/>
      <c r="E1" s="576"/>
      <c r="F1" s="576"/>
      <c r="G1" s="577"/>
    </row>
    <row r="2" spans="1:7" x14ac:dyDescent="0.2">
      <c r="A2" s="578" t="s">
        <v>368</v>
      </c>
      <c r="B2" s="576"/>
      <c r="C2" s="576"/>
      <c r="D2" s="576"/>
      <c r="E2" s="576"/>
      <c r="F2" s="576"/>
      <c r="G2" s="577"/>
    </row>
    <row r="3" spans="1:7" x14ac:dyDescent="0.2">
      <c r="A3" s="578" t="s">
        <v>369</v>
      </c>
      <c r="B3" s="576"/>
      <c r="C3" s="576"/>
      <c r="D3" s="576"/>
      <c r="E3" s="576"/>
      <c r="F3" s="576"/>
      <c r="G3" s="577"/>
    </row>
    <row r="4" spans="1:7" x14ac:dyDescent="0.2">
      <c r="A4" s="582" t="s">
        <v>448</v>
      </c>
      <c r="B4" s="583"/>
      <c r="C4" s="583"/>
      <c r="D4" s="583"/>
      <c r="E4" s="583"/>
      <c r="F4" s="583"/>
      <c r="G4" s="584"/>
    </row>
    <row r="5" spans="1:7" x14ac:dyDescent="0.2">
      <c r="A5" s="578" t="s">
        <v>449</v>
      </c>
      <c r="B5" s="576"/>
      <c r="C5" s="576"/>
      <c r="D5" s="576"/>
      <c r="E5" s="576"/>
      <c r="F5" s="576"/>
      <c r="G5" s="577"/>
    </row>
    <row r="6" spans="1:7" x14ac:dyDescent="0.2">
      <c r="A6" s="580" t="s">
        <v>450</v>
      </c>
      <c r="B6" s="581"/>
      <c r="C6" s="227"/>
      <c r="D6" s="227"/>
      <c r="E6" s="227"/>
      <c r="F6" s="227"/>
      <c r="G6" s="228">
        <v>1</v>
      </c>
    </row>
    <row r="7" spans="1:7" s="10" customFormat="1" ht="25.5" customHeight="1" x14ac:dyDescent="0.2">
      <c r="A7" s="229" t="s">
        <v>451</v>
      </c>
      <c r="B7" s="229">
        <f>Parâmetros!C10</f>
        <v>2023</v>
      </c>
      <c r="C7" s="229" t="s">
        <v>422</v>
      </c>
      <c r="D7" s="229">
        <f>B7-1</f>
        <v>2022</v>
      </c>
      <c r="E7" s="229" t="s">
        <v>422</v>
      </c>
      <c r="F7" s="229">
        <f>D7-1</f>
        <v>2021</v>
      </c>
      <c r="G7" s="313" t="s">
        <v>422</v>
      </c>
    </row>
    <row r="8" spans="1:7" x14ac:dyDescent="0.2">
      <c r="A8" s="231" t="s">
        <v>452</v>
      </c>
      <c r="B8" s="306"/>
      <c r="C8" s="307">
        <f>IF(B12=0,"-",(B8/B12))</f>
        <v>0</v>
      </c>
      <c r="D8" s="306"/>
      <c r="E8" s="307">
        <f>IF(D12=0,"-",(D8/D12))</f>
        <v>0</v>
      </c>
      <c r="F8" s="232"/>
      <c r="G8" s="307">
        <f>IF(F12=0,"-",(F8/F12))</f>
        <v>0</v>
      </c>
    </row>
    <row r="9" spans="1:7" x14ac:dyDescent="0.2">
      <c r="A9" s="231" t="s">
        <v>453</v>
      </c>
      <c r="B9" s="233"/>
      <c r="C9" s="307">
        <f>IF(B12=0,"-",(B9/B12))</f>
        <v>0</v>
      </c>
      <c r="D9" s="233"/>
      <c r="E9" s="307">
        <f>IF(D12=0,"-",(D9/D12))</f>
        <v>0</v>
      </c>
      <c r="F9" s="233"/>
      <c r="G9" s="307">
        <f>IF(F12=0,"-",(F9/F12))</f>
        <v>0</v>
      </c>
    </row>
    <row r="10" spans="1:7" x14ac:dyDescent="0.2">
      <c r="A10" s="234" t="s">
        <v>454</v>
      </c>
      <c r="B10" s="306">
        <v>33284122.420000002</v>
      </c>
      <c r="C10" s="310">
        <f>IF(B12=0,"-",(B10/B12))</f>
        <v>1</v>
      </c>
      <c r="D10" s="235">
        <v>29620498.620000001</v>
      </c>
      <c r="E10" s="310">
        <f>IF(D12=0,"-",(D10/D12))</f>
        <v>1</v>
      </c>
      <c r="F10" s="235">
        <v>23466322.030000001</v>
      </c>
      <c r="G10" s="310">
        <f>IF(F12=0,"-",(F10/F12))</f>
        <v>1</v>
      </c>
    </row>
    <row r="11" spans="1:7" s="163" customFormat="1" x14ac:dyDescent="0.2">
      <c r="A11" s="237" t="s">
        <v>455</v>
      </c>
      <c r="B11" s="236">
        <v>0</v>
      </c>
      <c r="C11" s="311">
        <f>IF(B12=0,"-",(B11/B12))</f>
        <v>0</v>
      </c>
      <c r="D11" s="236"/>
      <c r="E11" s="311">
        <f>IF(D12=0,"-",(D11/D12))</f>
        <v>0</v>
      </c>
      <c r="F11" s="236"/>
      <c r="G11" s="311">
        <f>IF(F12=0,"-",(F11/F12))</f>
        <v>0</v>
      </c>
    </row>
    <row r="12" spans="1:7" x14ac:dyDescent="0.2">
      <c r="A12" s="237" t="s">
        <v>456</v>
      </c>
      <c r="B12" s="312">
        <f t="shared" ref="B12:G12" si="0">SUM(B8:B11)</f>
        <v>33284122.420000002</v>
      </c>
      <c r="C12" s="310">
        <f t="shared" si="0"/>
        <v>1</v>
      </c>
      <c r="D12" s="312">
        <f t="shared" si="0"/>
        <v>29620498.620000001</v>
      </c>
      <c r="E12" s="310">
        <f t="shared" si="0"/>
        <v>1</v>
      </c>
      <c r="F12" s="312">
        <f t="shared" si="0"/>
        <v>23466322.030000001</v>
      </c>
      <c r="G12" s="310">
        <f t="shared" si="0"/>
        <v>1</v>
      </c>
    </row>
    <row r="13" spans="1:7" x14ac:dyDescent="0.2">
      <c r="A13" s="579"/>
      <c r="B13" s="579"/>
      <c r="C13" s="579"/>
      <c r="D13" s="579"/>
      <c r="E13" s="579"/>
      <c r="F13" s="579"/>
      <c r="G13" s="579"/>
    </row>
    <row r="14" spans="1:7" ht="15.75" customHeight="1" x14ac:dyDescent="0.2">
      <c r="A14" s="573" t="s">
        <v>457</v>
      </c>
      <c r="B14" s="573"/>
      <c r="C14" s="573"/>
      <c r="D14" s="573"/>
      <c r="E14" s="573"/>
      <c r="F14" s="573"/>
      <c r="G14" s="573"/>
    </row>
    <row r="15" spans="1:7" s="10" customFormat="1" ht="25.5" customHeight="1" x14ac:dyDescent="0.2">
      <c r="A15" s="229" t="s">
        <v>451</v>
      </c>
      <c r="B15" s="229">
        <f>Parâmetros!C10</f>
        <v>2023</v>
      </c>
      <c r="C15" s="229" t="s">
        <v>422</v>
      </c>
      <c r="D15" s="229">
        <f>B15-1</f>
        <v>2022</v>
      </c>
      <c r="E15" s="229" t="s">
        <v>422</v>
      </c>
      <c r="F15" s="229">
        <f>D15-1</f>
        <v>2021</v>
      </c>
      <c r="G15" s="230" t="s">
        <v>422</v>
      </c>
    </row>
    <row r="16" spans="1:7" x14ac:dyDescent="0.2">
      <c r="A16" s="231" t="s">
        <v>452</v>
      </c>
      <c r="B16" s="306"/>
      <c r="C16" s="307">
        <f>IF(B20=0,"-",(B16/B20))</f>
        <v>0</v>
      </c>
      <c r="D16" s="306"/>
      <c r="E16" s="307">
        <f>IF(D20=0,"-",(D16/D20))</f>
        <v>0</v>
      </c>
      <c r="F16" s="232"/>
      <c r="G16" s="307">
        <f>IF(F20=0,"-",(F16/F20))</f>
        <v>0</v>
      </c>
    </row>
    <row r="17" spans="1:9" x14ac:dyDescent="0.2">
      <c r="A17" s="231" t="s">
        <v>453</v>
      </c>
      <c r="B17" s="233">
        <v>0</v>
      </c>
      <c r="C17" s="307">
        <f>IF(B20=0,"-",(B17/B20))</f>
        <v>0</v>
      </c>
      <c r="D17" s="233">
        <v>0</v>
      </c>
      <c r="E17" s="307">
        <f>IF(D20=0,"-",(D17/D20))</f>
        <v>0</v>
      </c>
      <c r="F17" s="233">
        <v>0</v>
      </c>
      <c r="G17" s="307">
        <f>IF(F20=0,"-",(F17/F20))</f>
        <v>0</v>
      </c>
    </row>
    <row r="18" spans="1:9" x14ac:dyDescent="0.2">
      <c r="A18" s="234" t="s">
        <v>454</v>
      </c>
      <c r="B18" s="306">
        <f>-11295070.17</f>
        <v>-11295070.17</v>
      </c>
      <c r="C18" s="310">
        <f>IF(B20=0,"-",(B18/B20))</f>
        <v>1</v>
      </c>
      <c r="D18" s="235">
        <f>-1375317.52</f>
        <v>-1375317.52</v>
      </c>
      <c r="E18" s="310">
        <f>IF(D20=0,"-",(D18/D20))</f>
        <v>1</v>
      </c>
      <c r="F18" s="235">
        <v>4803993.17</v>
      </c>
      <c r="G18" s="310">
        <f>IF(F20=0,"-",(F18/F20))</f>
        <v>1</v>
      </c>
    </row>
    <row r="19" spans="1:9" x14ac:dyDescent="0.2">
      <c r="A19" s="237" t="s">
        <v>458</v>
      </c>
      <c r="B19" s="235">
        <v>0</v>
      </c>
      <c r="C19" s="310">
        <f>IF(B20=0,"-",(B19/B20))</f>
        <v>0</v>
      </c>
      <c r="D19" s="235">
        <v>0</v>
      </c>
      <c r="E19" s="310">
        <f>IF(D20=0,"-",(D19/D20))</f>
        <v>0</v>
      </c>
      <c r="F19" s="235">
        <v>0</v>
      </c>
      <c r="G19" s="310">
        <f>IF(F20=0,"-",(F19/F20))</f>
        <v>0</v>
      </c>
      <c r="I19" s="85"/>
    </row>
    <row r="20" spans="1:9" x14ac:dyDescent="0.2">
      <c r="A20" s="237" t="s">
        <v>456</v>
      </c>
      <c r="B20" s="312">
        <f t="shared" ref="B20:G20" si="1">SUM(B16:B19)</f>
        <v>-11295070.17</v>
      </c>
      <c r="C20" s="310">
        <f t="shared" si="1"/>
        <v>1</v>
      </c>
      <c r="D20" s="312">
        <f t="shared" si="1"/>
        <v>-1375317.52</v>
      </c>
      <c r="E20" s="310">
        <f t="shared" si="1"/>
        <v>1</v>
      </c>
      <c r="F20" s="312">
        <f t="shared" si="1"/>
        <v>4803993.17</v>
      </c>
      <c r="G20" s="310">
        <f t="shared" si="1"/>
        <v>1</v>
      </c>
    </row>
    <row r="21" spans="1:9" x14ac:dyDescent="0.2">
      <c r="A21" s="574"/>
      <c r="B21" s="574"/>
      <c r="C21" s="574"/>
      <c r="D21" s="574"/>
      <c r="E21" s="574"/>
      <c r="F21" s="574"/>
      <c r="G21" s="574"/>
    </row>
    <row r="22" spans="1:9" ht="15.75" customHeight="1" x14ac:dyDescent="0.2">
      <c r="A22" s="573" t="s">
        <v>459</v>
      </c>
      <c r="B22" s="573"/>
      <c r="C22" s="573"/>
      <c r="D22" s="573"/>
      <c r="E22" s="573"/>
      <c r="F22" s="573"/>
      <c r="G22" s="573"/>
    </row>
    <row r="23" spans="1:9" s="10" customFormat="1" ht="25.5" customHeight="1" x14ac:dyDescent="0.2">
      <c r="A23" s="229" t="s">
        <v>451</v>
      </c>
      <c r="B23" s="229">
        <f>Parâmetros!C10</f>
        <v>2023</v>
      </c>
      <c r="C23" s="229" t="s">
        <v>422</v>
      </c>
      <c r="D23" s="229">
        <f>B23-1</f>
        <v>2022</v>
      </c>
      <c r="E23" s="229" t="s">
        <v>422</v>
      </c>
      <c r="F23" s="229">
        <f>D23-1</f>
        <v>2021</v>
      </c>
      <c r="G23" s="313" t="s">
        <v>422</v>
      </c>
    </row>
    <row r="24" spans="1:9" x14ac:dyDescent="0.2">
      <c r="A24" s="231" t="s">
        <v>452</v>
      </c>
      <c r="B24" s="306">
        <f>B8+B16</f>
        <v>0</v>
      </c>
      <c r="C24" s="307">
        <f>IF(B28=0,"-",(B24/B28))</f>
        <v>0</v>
      </c>
      <c r="D24" s="306">
        <f>D8+D16</f>
        <v>0</v>
      </c>
      <c r="E24" s="307">
        <f>IF(D28=0,"-",(D24/D28))</f>
        <v>0</v>
      </c>
      <c r="F24" s="306">
        <f>F8+F16</f>
        <v>0</v>
      </c>
      <c r="G24" s="307">
        <f>IF(F28=0,"-",(F24/F28))</f>
        <v>0</v>
      </c>
    </row>
    <row r="25" spans="1:9" x14ac:dyDescent="0.2">
      <c r="A25" s="231" t="s">
        <v>453</v>
      </c>
      <c r="B25" s="308">
        <f>B9+B17</f>
        <v>0</v>
      </c>
      <c r="C25" s="307">
        <f>IF(B28=0,"-",(B25/B28))</f>
        <v>0</v>
      </c>
      <c r="D25" s="308">
        <f>D9+D17</f>
        <v>0</v>
      </c>
      <c r="E25" s="307">
        <f>IF(D28=0,"-",(D25/D28))</f>
        <v>0</v>
      </c>
      <c r="F25" s="308">
        <f>F9+F17</f>
        <v>0</v>
      </c>
      <c r="G25" s="307">
        <f>IF(F28=0,"-",(F25/F28))</f>
        <v>0</v>
      </c>
    </row>
    <row r="26" spans="1:9" x14ac:dyDescent="0.2">
      <c r="A26" s="234" t="s">
        <v>454</v>
      </c>
      <c r="B26" s="309">
        <f>B10+B18</f>
        <v>21989052.25</v>
      </c>
      <c r="C26" s="310">
        <f>IF(B28=0,"-",(B26/B28))</f>
        <v>1</v>
      </c>
      <c r="D26" s="309">
        <f>D10+D18</f>
        <v>28245181.100000001</v>
      </c>
      <c r="E26" s="310">
        <f>IF(D28=0,"-",(D26/D28))</f>
        <v>1</v>
      </c>
      <c r="F26" s="309">
        <f>F10+F18</f>
        <v>28270315.200000003</v>
      </c>
      <c r="G26" s="310">
        <f>IF(F28=0,"-",(F26/F28))</f>
        <v>1</v>
      </c>
    </row>
    <row r="27" spans="1:9" x14ac:dyDescent="0.2">
      <c r="A27" s="237" t="s">
        <v>458</v>
      </c>
      <c r="B27" s="309">
        <f>B11+B19</f>
        <v>0</v>
      </c>
      <c r="C27" s="310">
        <f>IF(B28=0,"-",(B27/B28))</f>
        <v>0</v>
      </c>
      <c r="D27" s="309">
        <f>D11+D19</f>
        <v>0</v>
      </c>
      <c r="E27" s="310">
        <f>IF(D28=0,"-",(D27/D28))</f>
        <v>0</v>
      </c>
      <c r="F27" s="309">
        <f>F11+F19</f>
        <v>0</v>
      </c>
      <c r="G27" s="310">
        <f>IF(F28=0,"-",(F27/F28))</f>
        <v>0</v>
      </c>
      <c r="I27" s="87"/>
    </row>
    <row r="28" spans="1:9" x14ac:dyDescent="0.2">
      <c r="A28" s="237" t="s">
        <v>456</v>
      </c>
      <c r="B28" s="309">
        <f t="shared" ref="B28:G28" si="2">SUM(B24:B27)</f>
        <v>21989052.25</v>
      </c>
      <c r="C28" s="310">
        <f t="shared" si="2"/>
        <v>1</v>
      </c>
      <c r="D28" s="312">
        <f t="shared" si="2"/>
        <v>28245181.100000001</v>
      </c>
      <c r="E28" s="310">
        <f t="shared" si="2"/>
        <v>1</v>
      </c>
      <c r="F28" s="312">
        <f t="shared" si="2"/>
        <v>28270315.200000003</v>
      </c>
      <c r="G28" s="310">
        <f t="shared" si="2"/>
        <v>1</v>
      </c>
    </row>
    <row r="29" spans="1:9" x14ac:dyDescent="0.2">
      <c r="A29" s="571" t="s">
        <v>625</v>
      </c>
      <c r="B29" s="572"/>
      <c r="C29" s="572"/>
      <c r="D29" s="572"/>
      <c r="E29" s="572"/>
      <c r="F29" s="572"/>
      <c r="G29" s="572"/>
    </row>
    <row r="33" spans="8:9" x14ac:dyDescent="0.2">
      <c r="I33" s="85"/>
    </row>
    <row r="43" spans="8:9" x14ac:dyDescent="0.2">
      <c r="H43" s="9" t="s">
        <v>460</v>
      </c>
    </row>
  </sheetData>
  <mergeCells count="11">
    <mergeCell ref="A29:G29"/>
    <mergeCell ref="A22:G22"/>
    <mergeCell ref="A21:G21"/>
    <mergeCell ref="A1:G1"/>
    <mergeCell ref="A2:G2"/>
    <mergeCell ref="A13:G13"/>
    <mergeCell ref="A14:G14"/>
    <mergeCell ref="A6:B6"/>
    <mergeCell ref="A3:G3"/>
    <mergeCell ref="A4:G4"/>
    <mergeCell ref="A5:G5"/>
  </mergeCells>
  <phoneticPr fontId="21" type="noConversion"/>
  <pageMargins left="0.78740157499999996" right="0.78740157499999996" top="0.984251969" bottom="0.984251969" header="0.49212598499999999" footer="0.49212598499999999"/>
  <pageSetup scale="84"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9F732-818D-46F7-94D6-C3BD15F0391E}">
  <sheetPr codeName="Plan15"/>
  <dimension ref="A1:D31"/>
  <sheetViews>
    <sheetView topLeftCell="A4" zoomScale="90" zoomScaleNormal="90" zoomScaleSheetLayoutView="90" workbookViewId="0">
      <selection activeCell="J34" sqref="J34:J37"/>
    </sheetView>
  </sheetViews>
  <sheetFormatPr defaultRowHeight="12.75" x14ac:dyDescent="0.2"/>
  <cols>
    <col min="1" max="1" width="58.42578125" style="9" customWidth="1"/>
    <col min="2" max="3" width="14.7109375" style="9" customWidth="1"/>
    <col min="4" max="4" width="15.7109375" style="9" customWidth="1"/>
    <col min="5" max="9" width="9.140625" style="9"/>
    <col min="10" max="10" width="13.28515625" style="9" customWidth="1"/>
    <col min="11" max="11" width="9.140625" style="9"/>
    <col min="12" max="12" width="11.5703125" style="9" customWidth="1"/>
    <col min="13" max="16384" width="9.140625" style="9"/>
  </cols>
  <sheetData>
    <row r="1" spans="1:4" x14ac:dyDescent="0.2">
      <c r="A1" s="590" t="str">
        <f>Parâmetros!A7</f>
        <v>Município de :   NOVA PÁDUA</v>
      </c>
      <c r="B1" s="588"/>
      <c r="C1" s="588"/>
      <c r="D1" s="589"/>
    </row>
    <row r="2" spans="1:4" x14ac:dyDescent="0.2">
      <c r="A2" s="587" t="s">
        <v>368</v>
      </c>
      <c r="B2" s="588"/>
      <c r="C2" s="588"/>
      <c r="D2" s="589"/>
    </row>
    <row r="3" spans="1:4" x14ac:dyDescent="0.2">
      <c r="A3" s="587" t="s">
        <v>369</v>
      </c>
      <c r="B3" s="588"/>
      <c r="C3" s="588"/>
      <c r="D3" s="589"/>
    </row>
    <row r="4" spans="1:4" x14ac:dyDescent="0.2">
      <c r="A4" s="591" t="s">
        <v>461</v>
      </c>
      <c r="B4" s="592"/>
      <c r="C4" s="592"/>
      <c r="D4" s="593"/>
    </row>
    <row r="5" spans="1:4" x14ac:dyDescent="0.2">
      <c r="A5" s="587" t="s">
        <v>462</v>
      </c>
      <c r="B5" s="588"/>
      <c r="C5" s="588"/>
      <c r="D5" s="589"/>
    </row>
    <row r="6" spans="1:4" x14ac:dyDescent="0.2">
      <c r="A6" s="587"/>
      <c r="B6" s="588"/>
      <c r="C6" s="588"/>
      <c r="D6" s="589"/>
    </row>
    <row r="7" spans="1:4" x14ac:dyDescent="0.2">
      <c r="A7" s="238" t="s">
        <v>463</v>
      </c>
      <c r="B7" s="239"/>
      <c r="C7" s="239"/>
      <c r="D7" s="240">
        <v>1</v>
      </c>
    </row>
    <row r="8" spans="1:4" s="10" customFormat="1" ht="25.5" customHeight="1" x14ac:dyDescent="0.2">
      <c r="A8" s="241" t="s">
        <v>464</v>
      </c>
      <c r="B8" s="407">
        <f>Parâmetros!$C$10</f>
        <v>2023</v>
      </c>
      <c r="C8" s="407">
        <f>B8-1</f>
        <v>2022</v>
      </c>
      <c r="D8" s="242">
        <f>C8-1</f>
        <v>2021</v>
      </c>
    </row>
    <row r="9" spans="1:4" s="10" customFormat="1" ht="25.5" customHeight="1" x14ac:dyDescent="0.2">
      <c r="A9" s="243" t="s">
        <v>465</v>
      </c>
      <c r="B9" s="244"/>
      <c r="C9" s="245"/>
      <c r="D9" s="246">
        <v>1388.11</v>
      </c>
    </row>
    <row r="10" spans="1:4" ht="12.75" customHeight="1" x14ac:dyDescent="0.2">
      <c r="A10" s="247" t="s">
        <v>466</v>
      </c>
      <c r="B10" s="248"/>
      <c r="C10" s="249"/>
      <c r="D10" s="249"/>
    </row>
    <row r="11" spans="1:4" ht="12.75" customHeight="1" x14ac:dyDescent="0.2">
      <c r="A11" s="394" t="s">
        <v>467</v>
      </c>
      <c r="B11" s="395">
        <f>B12+B13+B14</f>
        <v>92124.9</v>
      </c>
      <c r="C11" s="395">
        <f>C12+C13+C14</f>
        <v>482834.04</v>
      </c>
      <c r="D11" s="395">
        <f>D12+D13+D14</f>
        <v>59437.05</v>
      </c>
    </row>
    <row r="12" spans="1:4" ht="12.75" customHeight="1" x14ac:dyDescent="0.2">
      <c r="A12" s="247" t="s">
        <v>468</v>
      </c>
      <c r="B12" s="720">
        <v>0</v>
      </c>
      <c r="C12" s="250">
        <v>392200</v>
      </c>
      <c r="D12" s="250">
        <v>59437.05</v>
      </c>
    </row>
    <row r="13" spans="1:4" ht="12.75" customHeight="1" x14ac:dyDescent="0.2">
      <c r="A13" s="247" t="s">
        <v>469</v>
      </c>
      <c r="B13" s="720">
        <v>92124.9</v>
      </c>
      <c r="C13" s="250">
        <v>90634.04</v>
      </c>
      <c r="D13" s="250"/>
    </row>
    <row r="14" spans="1:4" ht="12.75" customHeight="1" x14ac:dyDescent="0.2">
      <c r="A14" s="247" t="s">
        <v>470</v>
      </c>
      <c r="B14" s="720"/>
      <c r="C14" s="250"/>
      <c r="D14" s="250"/>
    </row>
    <row r="15" spans="1:4" ht="12.75" customHeight="1" x14ac:dyDescent="0.2">
      <c r="A15" s="394" t="s">
        <v>471</v>
      </c>
      <c r="B15" s="396">
        <f>8852.85+1771.66</f>
        <v>10624.51</v>
      </c>
      <c r="C15" s="397">
        <f>174.72+174.8</f>
        <v>349.52</v>
      </c>
      <c r="D15" s="397">
        <v>35.340000000000003</v>
      </c>
    </row>
    <row r="16" spans="1:4" x14ac:dyDescent="0.2">
      <c r="A16" s="251" t="s">
        <v>472</v>
      </c>
      <c r="B16" s="398">
        <f>B11+B15</f>
        <v>102749.40999999999</v>
      </c>
      <c r="C16" s="398">
        <f>C11+C15</f>
        <v>483183.56</v>
      </c>
      <c r="D16" s="398">
        <f>D9+D11+D15</f>
        <v>60860.5</v>
      </c>
    </row>
    <row r="17" spans="1:4" x14ac:dyDescent="0.2">
      <c r="A17" s="586"/>
      <c r="B17" s="586"/>
      <c r="C17" s="586"/>
      <c r="D17" s="586"/>
    </row>
    <row r="18" spans="1:4" s="10" customFormat="1" x14ac:dyDescent="0.2">
      <c r="A18" s="594" t="s">
        <v>473</v>
      </c>
      <c r="B18" s="596">
        <f>B8</f>
        <v>2023</v>
      </c>
      <c r="C18" s="596">
        <f>B18-1</f>
        <v>2022</v>
      </c>
      <c r="D18" s="596">
        <f>C18-1</f>
        <v>2021</v>
      </c>
    </row>
    <row r="19" spans="1:4" s="10" customFormat="1" x14ac:dyDescent="0.2">
      <c r="A19" s="595"/>
      <c r="B19" s="597"/>
      <c r="C19" s="597"/>
      <c r="D19" s="597"/>
    </row>
    <row r="20" spans="1:4" x14ac:dyDescent="0.2">
      <c r="A20" s="252" t="s">
        <v>474</v>
      </c>
      <c r="B20" s="253"/>
      <c r="C20" s="253"/>
      <c r="D20" s="254"/>
    </row>
    <row r="21" spans="1:4" x14ac:dyDescent="0.2">
      <c r="A21" s="399" t="s">
        <v>475</v>
      </c>
      <c r="B21" s="400">
        <f>B22+B23+B24</f>
        <v>83337.77</v>
      </c>
      <c r="C21" s="400">
        <f>C22+C23+C24</f>
        <v>384553.64</v>
      </c>
      <c r="D21" s="400">
        <f>D22+D23+D24</f>
        <v>59437.05</v>
      </c>
    </row>
    <row r="22" spans="1:4" x14ac:dyDescent="0.2">
      <c r="A22" s="252" t="s">
        <v>476</v>
      </c>
      <c r="B22" s="722">
        <v>83337.77</v>
      </c>
      <c r="C22" s="257">
        <v>384553.64</v>
      </c>
      <c r="D22" s="258">
        <v>59437.05</v>
      </c>
    </row>
    <row r="23" spans="1:4" x14ac:dyDescent="0.2">
      <c r="A23" s="252" t="s">
        <v>477</v>
      </c>
      <c r="B23" s="722"/>
      <c r="C23" s="257"/>
      <c r="D23" s="258"/>
    </row>
    <row r="24" spans="1:4" x14ac:dyDescent="0.2">
      <c r="A24" s="252" t="s">
        <v>478</v>
      </c>
      <c r="B24" s="257"/>
      <c r="C24" s="257"/>
      <c r="D24" s="258"/>
    </row>
    <row r="25" spans="1:4" x14ac:dyDescent="0.2">
      <c r="A25" s="252" t="s">
        <v>479</v>
      </c>
      <c r="B25" s="255">
        <f>B26+B27</f>
        <v>0</v>
      </c>
      <c r="C25" s="255">
        <f>C26+C27</f>
        <v>0</v>
      </c>
      <c r="D25" s="256">
        <f>D26+D27</f>
        <v>0</v>
      </c>
    </row>
    <row r="26" spans="1:4" x14ac:dyDescent="0.2">
      <c r="A26" s="252" t="s">
        <v>480</v>
      </c>
      <c r="B26" s="257">
        <v>0</v>
      </c>
      <c r="C26" s="257"/>
      <c r="D26" s="258"/>
    </row>
    <row r="27" spans="1:4" x14ac:dyDescent="0.2">
      <c r="A27" s="259" t="s">
        <v>481</v>
      </c>
      <c r="B27" s="260"/>
      <c r="C27" s="260"/>
      <c r="D27" s="261"/>
    </row>
    <row r="28" spans="1:4" x14ac:dyDescent="0.2">
      <c r="A28" s="262" t="s">
        <v>472</v>
      </c>
      <c r="B28" s="314">
        <f>B21+B25</f>
        <v>83337.77</v>
      </c>
      <c r="C28" s="314">
        <f>C21+C25</f>
        <v>384553.64</v>
      </c>
      <c r="D28" s="315">
        <f>D21+D25</f>
        <v>59437.05</v>
      </c>
    </row>
    <row r="29" spans="1:4" x14ac:dyDescent="0.2">
      <c r="A29" s="598" t="s">
        <v>482</v>
      </c>
      <c r="B29" s="260"/>
      <c r="C29" s="260"/>
      <c r="D29" s="261"/>
    </row>
    <row r="30" spans="1:4" x14ac:dyDescent="0.2">
      <c r="A30" s="599"/>
      <c r="B30" s="721">
        <v>108840.1</v>
      </c>
      <c r="C30" s="314">
        <v>100052.97</v>
      </c>
      <c r="D30" s="316">
        <v>1423.05</v>
      </c>
    </row>
    <row r="31" spans="1:4" x14ac:dyDescent="0.2">
      <c r="A31" s="585" t="s">
        <v>624</v>
      </c>
      <c r="B31" s="585"/>
      <c r="C31" s="585"/>
      <c r="D31" s="585"/>
    </row>
  </sheetData>
  <mergeCells count="13">
    <mergeCell ref="A31:D31"/>
    <mergeCell ref="A17:D17"/>
    <mergeCell ref="A5:D5"/>
    <mergeCell ref="A6:D6"/>
    <mergeCell ref="A1:D1"/>
    <mergeCell ref="A2:D2"/>
    <mergeCell ref="A3:D3"/>
    <mergeCell ref="A4:D4"/>
    <mergeCell ref="A18:A19"/>
    <mergeCell ref="B18:B19"/>
    <mergeCell ref="C18:C19"/>
    <mergeCell ref="D18:D19"/>
    <mergeCell ref="A29:A30"/>
  </mergeCells>
  <phoneticPr fontId="21" type="noConversion"/>
  <pageMargins left="0.78740157499999996" right="0.78740157499999996" top="0.984251969" bottom="0.984251969" header="0.49212598499999999" footer="0.49212598499999999"/>
  <pageSetup scale="84"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5CD10-27EB-4DBC-B7BE-E7C872F3FE9E}">
  <dimension ref="A1:K179"/>
  <sheetViews>
    <sheetView topLeftCell="A166" workbookViewId="0">
      <selection activeCell="D141" sqref="D141"/>
    </sheetView>
  </sheetViews>
  <sheetFormatPr defaultColWidth="4.140625" defaultRowHeight="11.25" customHeight="1" x14ac:dyDescent="0.2"/>
  <cols>
    <col min="1" max="1" width="58.7109375" style="88" customWidth="1"/>
    <col min="2" max="2" width="12.42578125" style="88" bestFit="1" customWidth="1"/>
    <col min="3" max="3" width="15.28515625" style="88" customWidth="1"/>
    <col min="4" max="4" width="15.42578125" style="88" customWidth="1"/>
    <col min="5" max="5" width="13.140625" style="88" customWidth="1"/>
    <col min="6" max="6" width="1.7109375" style="88" customWidth="1"/>
    <col min="7" max="16384" width="4.140625" style="88"/>
  </cols>
  <sheetData>
    <row r="1" spans="1:6" ht="12.75" x14ac:dyDescent="0.2">
      <c r="A1" s="567" t="str">
        <f>Parâmetros!A7</f>
        <v>Município de :   NOVA PÁDUA</v>
      </c>
      <c r="B1" s="568"/>
      <c r="C1" s="568"/>
      <c r="D1" s="568"/>
    </row>
    <row r="2" spans="1:6" ht="12.75" x14ac:dyDescent="0.2">
      <c r="A2" s="568" t="s">
        <v>368</v>
      </c>
      <c r="B2" s="568"/>
      <c r="C2" s="568"/>
      <c r="D2" s="568"/>
    </row>
    <row r="3" spans="1:6" ht="12.75" x14ac:dyDescent="0.2">
      <c r="A3" s="568" t="s">
        <v>369</v>
      </c>
      <c r="B3" s="568"/>
      <c r="C3" s="568"/>
      <c r="D3" s="568"/>
    </row>
    <row r="4" spans="1:6" ht="12.75" x14ac:dyDescent="0.2">
      <c r="A4" s="569" t="s">
        <v>483</v>
      </c>
      <c r="B4" s="569"/>
      <c r="C4" s="569"/>
      <c r="D4" s="569"/>
    </row>
    <row r="5" spans="1:6" ht="12.75" x14ac:dyDescent="0.2">
      <c r="A5" s="568" t="s">
        <v>462</v>
      </c>
      <c r="B5" s="568"/>
      <c r="C5" s="568"/>
      <c r="D5" s="568"/>
    </row>
    <row r="6" spans="1:6" ht="11.25" customHeight="1" x14ac:dyDescent="0.2">
      <c r="A6" s="89"/>
      <c r="B6" s="89"/>
      <c r="C6" s="89"/>
      <c r="D6" s="89"/>
    </row>
    <row r="7" spans="1:6" ht="11.25" customHeight="1" thickBot="1" x14ac:dyDescent="0.25">
      <c r="A7" s="603" t="s">
        <v>484</v>
      </c>
      <c r="B7" s="603"/>
      <c r="C7" s="603"/>
      <c r="D7" s="603"/>
      <c r="E7" s="607">
        <v>1</v>
      </c>
      <c r="F7" s="607"/>
    </row>
    <row r="8" spans="1:6" ht="20.100000000000001" customHeight="1" thickBot="1" x14ac:dyDescent="0.25">
      <c r="A8" s="608" t="s">
        <v>485</v>
      </c>
      <c r="B8" s="608"/>
      <c r="C8" s="608"/>
      <c r="D8" s="608"/>
      <c r="E8" s="608"/>
      <c r="F8" s="608"/>
    </row>
    <row r="9" spans="1:6" s="90" customFormat="1" ht="15" customHeight="1" x14ac:dyDescent="0.2">
      <c r="A9" s="609" t="s">
        <v>486</v>
      </c>
      <c r="B9" s="610"/>
      <c r="C9" s="610"/>
      <c r="D9" s="610"/>
      <c r="E9" s="610"/>
      <c r="F9" s="610"/>
    </row>
    <row r="10" spans="1:6" ht="12.75" customHeight="1" thickBot="1" x14ac:dyDescent="0.25">
      <c r="A10" s="91" t="s">
        <v>487</v>
      </c>
      <c r="B10" s="612">
        <f>D10-1</f>
        <v>2021</v>
      </c>
      <c r="C10" s="613"/>
      <c r="D10" s="347">
        <f>E10-1</f>
        <v>2022</v>
      </c>
      <c r="E10" s="611">
        <f>Parâmetros!C10</f>
        <v>2023</v>
      </c>
      <c r="F10" s="611"/>
    </row>
    <row r="11" spans="1:6" ht="12.75" x14ac:dyDescent="0.2">
      <c r="A11" s="88" t="s">
        <v>488</v>
      </c>
      <c r="B11" s="739">
        <f>B12+B21+B30+B35</f>
        <v>1924793.6099999999</v>
      </c>
      <c r="C11" s="740"/>
      <c r="D11" s="725">
        <f>D12+D21+D30+D38</f>
        <v>3754468.42</v>
      </c>
      <c r="E11" s="768">
        <f>E12+E21+E30+E38+E35</f>
        <v>4795544.9400000004</v>
      </c>
      <c r="F11" s="769"/>
    </row>
    <row r="12" spans="1:6" ht="12.75" x14ac:dyDescent="0.2">
      <c r="A12" s="92" t="s">
        <v>489</v>
      </c>
      <c r="B12" s="741">
        <v>527514.09</v>
      </c>
      <c r="C12" s="742"/>
      <c r="D12" s="724">
        <f>D13</f>
        <v>593235.31000000006</v>
      </c>
      <c r="E12" s="770">
        <f>E13</f>
        <v>627928.37</v>
      </c>
      <c r="F12" s="771"/>
    </row>
    <row r="13" spans="1:6" ht="12.75" x14ac:dyDescent="0.2">
      <c r="A13" s="95" t="s">
        <v>490</v>
      </c>
      <c r="B13" s="743">
        <v>527514.09</v>
      </c>
      <c r="C13" s="744"/>
      <c r="D13" s="723">
        <f>D14+D15</f>
        <v>593235.31000000006</v>
      </c>
      <c r="E13" s="770">
        <f>E14+E15</f>
        <v>627928.37</v>
      </c>
      <c r="F13" s="771"/>
    </row>
    <row r="14" spans="1:6" ht="12.75" x14ac:dyDescent="0.2">
      <c r="A14" s="96" t="s">
        <v>491</v>
      </c>
      <c r="B14" s="743">
        <v>527272.42000000004</v>
      </c>
      <c r="C14" s="744"/>
      <c r="D14" s="723">
        <v>592317.78</v>
      </c>
      <c r="E14" s="770">
        <v>627112.41</v>
      </c>
      <c r="F14" s="771"/>
    </row>
    <row r="15" spans="1:6" ht="12.75" x14ac:dyDescent="0.2">
      <c r="A15" s="96" t="s">
        <v>492</v>
      </c>
      <c r="B15" s="743">
        <v>241.64</v>
      </c>
      <c r="C15" s="744"/>
      <c r="D15" s="723">
        <v>917.53</v>
      </c>
      <c r="E15" s="770">
        <v>815.96</v>
      </c>
      <c r="F15" s="771"/>
    </row>
    <row r="16" spans="1:6" ht="12.75" x14ac:dyDescent="0.2">
      <c r="A16" s="96" t="s">
        <v>493</v>
      </c>
      <c r="B16" s="743"/>
      <c r="C16" s="744"/>
      <c r="D16" s="723"/>
      <c r="E16" s="770"/>
      <c r="F16" s="771"/>
    </row>
    <row r="17" spans="1:6" ht="12.75" x14ac:dyDescent="0.2">
      <c r="A17" s="95" t="s">
        <v>494</v>
      </c>
      <c r="B17" s="743"/>
      <c r="C17" s="744"/>
      <c r="D17" s="94"/>
      <c r="E17" s="770"/>
      <c r="F17" s="771"/>
    </row>
    <row r="18" spans="1:6" ht="12.75" x14ac:dyDescent="0.2">
      <c r="A18" s="96" t="s">
        <v>491</v>
      </c>
      <c r="B18" s="743"/>
      <c r="C18" s="744"/>
      <c r="D18" s="94"/>
      <c r="E18" s="770"/>
      <c r="F18" s="771"/>
    </row>
    <row r="19" spans="1:6" ht="12.75" x14ac:dyDescent="0.2">
      <c r="A19" s="96" t="s">
        <v>492</v>
      </c>
      <c r="B19" s="743"/>
      <c r="C19" s="744"/>
      <c r="D19" s="94"/>
      <c r="E19" s="770"/>
      <c r="F19" s="771"/>
    </row>
    <row r="20" spans="1:6" ht="12.75" x14ac:dyDescent="0.2">
      <c r="A20" s="96" t="s">
        <v>493</v>
      </c>
      <c r="B20" s="743"/>
      <c r="C20" s="744"/>
      <c r="D20" s="94"/>
      <c r="E20" s="770"/>
      <c r="F20" s="771"/>
    </row>
    <row r="21" spans="1:6" ht="12.75" x14ac:dyDescent="0.2">
      <c r="A21" s="88" t="s">
        <v>495</v>
      </c>
      <c r="B21" s="743">
        <f>B23</f>
        <v>1080720.92</v>
      </c>
      <c r="C21" s="744"/>
      <c r="D21" s="723">
        <f>D23</f>
        <v>1218981.8999999999</v>
      </c>
      <c r="E21" s="770">
        <f>E23</f>
        <v>2915677.68</v>
      </c>
      <c r="F21" s="771"/>
    </row>
    <row r="22" spans="1:6" ht="12.75" x14ac:dyDescent="0.2">
      <c r="A22" s="95" t="s">
        <v>490</v>
      </c>
      <c r="B22" s="743"/>
      <c r="C22" s="744"/>
      <c r="D22" s="723"/>
      <c r="E22" s="770"/>
      <c r="F22" s="771"/>
    </row>
    <row r="23" spans="1:6" ht="12.75" x14ac:dyDescent="0.2">
      <c r="A23" s="96" t="s">
        <v>491</v>
      </c>
      <c r="B23" s="743">
        <v>1080720.92</v>
      </c>
      <c r="C23" s="744"/>
      <c r="D23" s="723">
        <v>1218981.8999999999</v>
      </c>
      <c r="E23" s="770">
        <v>2915677.68</v>
      </c>
      <c r="F23" s="771"/>
    </row>
    <row r="24" spans="1:6" ht="12.75" x14ac:dyDescent="0.2">
      <c r="A24" s="96" t="s">
        <v>492</v>
      </c>
      <c r="B24" s="743"/>
      <c r="C24" s="744"/>
      <c r="D24" s="723"/>
      <c r="E24" s="770"/>
      <c r="F24" s="771"/>
    </row>
    <row r="25" spans="1:6" ht="12.75" x14ac:dyDescent="0.2">
      <c r="A25" s="96" t="s">
        <v>493</v>
      </c>
      <c r="B25" s="743"/>
      <c r="C25" s="744"/>
      <c r="D25" s="94"/>
      <c r="E25" s="770"/>
      <c r="F25" s="771"/>
    </row>
    <row r="26" spans="1:6" ht="12.75" x14ac:dyDescent="0.2">
      <c r="A26" s="95" t="s">
        <v>494</v>
      </c>
      <c r="B26" s="743"/>
      <c r="C26" s="744"/>
      <c r="D26" s="94"/>
      <c r="E26" s="770"/>
      <c r="F26" s="771"/>
    </row>
    <row r="27" spans="1:6" ht="12.75" x14ac:dyDescent="0.2">
      <c r="A27" s="96" t="s">
        <v>491</v>
      </c>
      <c r="B27" s="743"/>
      <c r="C27" s="744"/>
      <c r="D27" s="94"/>
      <c r="E27" s="770"/>
      <c r="F27" s="771"/>
    </row>
    <row r="28" spans="1:6" ht="12.75" x14ac:dyDescent="0.2">
      <c r="A28" s="96" t="s">
        <v>492</v>
      </c>
      <c r="B28" s="743"/>
      <c r="C28" s="744"/>
      <c r="D28" s="94"/>
      <c r="E28" s="770"/>
      <c r="F28" s="771"/>
    </row>
    <row r="29" spans="1:6" ht="12.75" x14ac:dyDescent="0.2">
      <c r="A29" s="96" t="s">
        <v>493</v>
      </c>
      <c r="B29" s="743"/>
      <c r="C29" s="744"/>
      <c r="D29" s="94"/>
      <c r="E29" s="770"/>
      <c r="F29" s="771"/>
    </row>
    <row r="30" spans="1:6" ht="12.75" x14ac:dyDescent="0.2">
      <c r="A30" s="92" t="s">
        <v>53</v>
      </c>
      <c r="B30" s="743">
        <f>B33</f>
        <v>316558.59999999998</v>
      </c>
      <c r="C30" s="744"/>
      <c r="D30" s="723">
        <f>D33</f>
        <v>1942246.56</v>
      </c>
      <c r="E30" s="770">
        <f>E33</f>
        <v>1246404.67</v>
      </c>
      <c r="F30" s="771"/>
    </row>
    <row r="31" spans="1:6" ht="12.75" x14ac:dyDescent="0.2">
      <c r="A31" s="95" t="s">
        <v>496</v>
      </c>
      <c r="B31" s="743"/>
      <c r="C31" s="744"/>
      <c r="D31" s="723"/>
      <c r="E31" s="770"/>
      <c r="F31" s="771"/>
    </row>
    <row r="32" spans="1:6" ht="12.75" x14ac:dyDescent="0.2">
      <c r="A32" s="95" t="s">
        <v>497</v>
      </c>
      <c r="B32" s="743"/>
      <c r="C32" s="744"/>
      <c r="D32" s="723"/>
      <c r="E32" s="770"/>
      <c r="F32" s="771"/>
    </row>
    <row r="33" spans="1:6" ht="12.75" x14ac:dyDescent="0.2">
      <c r="A33" s="95" t="s">
        <v>498</v>
      </c>
      <c r="B33" s="743">
        <v>316558.59999999998</v>
      </c>
      <c r="C33" s="744"/>
      <c r="D33" s="723">
        <f>1942246.56</f>
        <v>1942246.56</v>
      </c>
      <c r="E33" s="770">
        <v>1246404.67</v>
      </c>
      <c r="F33" s="771"/>
    </row>
    <row r="34" spans="1:6" ht="12.75" x14ac:dyDescent="0.2">
      <c r="A34" s="92" t="s">
        <v>77</v>
      </c>
      <c r="B34" s="743"/>
      <c r="C34" s="744"/>
      <c r="D34" s="94"/>
      <c r="E34" s="770"/>
      <c r="F34" s="771"/>
    </row>
    <row r="35" spans="1:6" ht="12.75" x14ac:dyDescent="0.2">
      <c r="A35" s="92" t="s">
        <v>138</v>
      </c>
      <c r="B35" s="743"/>
      <c r="C35" s="744"/>
      <c r="D35" s="94"/>
      <c r="E35" s="770">
        <f>E36</f>
        <v>5534.22</v>
      </c>
      <c r="F35" s="771"/>
    </row>
    <row r="36" spans="1:6" ht="12.75" x14ac:dyDescent="0.2">
      <c r="A36" s="95" t="s">
        <v>499</v>
      </c>
      <c r="B36" s="743"/>
      <c r="C36" s="744"/>
      <c r="D36" s="94"/>
      <c r="E36" s="770">
        <v>5534.22</v>
      </c>
      <c r="F36" s="771"/>
    </row>
    <row r="37" spans="1:6" ht="12.75" customHeight="1" x14ac:dyDescent="0.2">
      <c r="A37" s="97" t="s">
        <v>500</v>
      </c>
      <c r="B37" s="743"/>
      <c r="C37" s="744"/>
      <c r="D37" s="94"/>
      <c r="E37" s="770"/>
      <c r="F37" s="771"/>
    </row>
    <row r="38" spans="1:6" ht="12.75" x14ac:dyDescent="0.2">
      <c r="A38" s="95" t="s">
        <v>148</v>
      </c>
      <c r="B38" s="743"/>
      <c r="C38" s="744"/>
      <c r="D38" s="94">
        <v>4.6500000000000004</v>
      </c>
      <c r="E38" s="770"/>
      <c r="F38" s="771"/>
    </row>
    <row r="39" spans="1:6" ht="12.75" x14ac:dyDescent="0.2">
      <c r="A39" s="88" t="s">
        <v>501</v>
      </c>
      <c r="B39" s="743"/>
      <c r="C39" s="744"/>
      <c r="D39" s="94"/>
      <c r="E39" s="770"/>
      <c r="F39" s="771"/>
    </row>
    <row r="40" spans="1:6" ht="12.75" x14ac:dyDescent="0.2">
      <c r="A40" s="92" t="s">
        <v>502</v>
      </c>
      <c r="B40" s="743"/>
      <c r="C40" s="744"/>
      <c r="D40" s="94"/>
      <c r="E40" s="770"/>
      <c r="F40" s="771"/>
    </row>
    <row r="41" spans="1:6" ht="12.75" x14ac:dyDescent="0.2">
      <c r="A41" s="92" t="s">
        <v>174</v>
      </c>
      <c r="B41" s="743"/>
      <c r="C41" s="744"/>
      <c r="D41" s="94"/>
      <c r="E41" s="770"/>
      <c r="F41" s="771"/>
    </row>
    <row r="42" spans="1:6" ht="12.75" x14ac:dyDescent="0.2">
      <c r="A42" s="92" t="s">
        <v>186</v>
      </c>
      <c r="B42" s="745"/>
      <c r="C42" s="746"/>
      <c r="D42" s="94"/>
      <c r="E42" s="770"/>
      <c r="F42" s="771"/>
    </row>
    <row r="43" spans="1:6" ht="12.75" x14ac:dyDescent="0.2">
      <c r="A43" s="98" t="s">
        <v>503</v>
      </c>
      <c r="B43" s="788">
        <f>B11</f>
        <v>1924793.6099999999</v>
      </c>
      <c r="C43" s="789"/>
      <c r="D43" s="737">
        <f>D11</f>
        <v>3754468.42</v>
      </c>
      <c r="E43" s="772">
        <f>E11+E39</f>
        <v>4795544.9400000004</v>
      </c>
      <c r="F43" s="641"/>
    </row>
    <row r="44" spans="1:6" ht="6.75" customHeight="1" x14ac:dyDescent="0.2"/>
    <row r="45" spans="1:6" ht="12.75" customHeight="1" x14ac:dyDescent="0.2">
      <c r="A45" s="349" t="s">
        <v>504</v>
      </c>
      <c r="B45" s="605">
        <f>B10</f>
        <v>2021</v>
      </c>
      <c r="C45" s="605"/>
      <c r="D45" s="726">
        <f>D10</f>
        <v>2022</v>
      </c>
      <c r="E45" s="605">
        <f>E10</f>
        <v>2023</v>
      </c>
      <c r="F45" s="605"/>
    </row>
    <row r="46" spans="1:6" ht="12.75" x14ac:dyDescent="0.2">
      <c r="A46" s="92" t="s">
        <v>505</v>
      </c>
      <c r="B46" s="747">
        <f>B47+B48</f>
        <v>1026087.79</v>
      </c>
      <c r="C46" s="744"/>
      <c r="D46" s="727">
        <f>D47+D48</f>
        <v>1331695.95</v>
      </c>
      <c r="E46" s="773">
        <f>E47+E48</f>
        <v>1494905.8199999998</v>
      </c>
      <c r="F46" s="774"/>
    </row>
    <row r="47" spans="1:6" ht="12.75" x14ac:dyDescent="0.2">
      <c r="A47" s="99" t="s">
        <v>506</v>
      </c>
      <c r="B47" s="747">
        <v>938127.91</v>
      </c>
      <c r="C47" s="744"/>
      <c r="D47" s="727">
        <v>1229840.1499999999</v>
      </c>
      <c r="E47" s="773">
        <v>1384876.17</v>
      </c>
      <c r="F47" s="774"/>
    </row>
    <row r="48" spans="1:6" ht="12.75" x14ac:dyDescent="0.2">
      <c r="A48" s="99" t="s">
        <v>507</v>
      </c>
      <c r="B48" s="747">
        <v>87959.88</v>
      </c>
      <c r="C48" s="744"/>
      <c r="D48" s="727">
        <v>101855.8</v>
      </c>
      <c r="E48" s="773">
        <v>110029.65</v>
      </c>
      <c r="F48" s="774"/>
    </row>
    <row r="49" spans="1:8" ht="12.75" x14ac:dyDescent="0.2">
      <c r="A49" s="99" t="s">
        <v>508</v>
      </c>
      <c r="B49" s="747"/>
      <c r="C49" s="744"/>
      <c r="D49" s="351"/>
      <c r="E49" s="773"/>
      <c r="F49" s="774"/>
    </row>
    <row r="50" spans="1:8" ht="12.75" x14ac:dyDescent="0.2">
      <c r="A50" s="92" t="s">
        <v>509</v>
      </c>
      <c r="B50" s="747"/>
      <c r="C50" s="744"/>
      <c r="D50" s="351"/>
      <c r="E50" s="773"/>
      <c r="F50" s="774"/>
    </row>
    <row r="51" spans="1:8" ht="12.75" x14ac:dyDescent="0.2">
      <c r="A51" s="99" t="s">
        <v>510</v>
      </c>
      <c r="B51" s="747"/>
      <c r="C51" s="744"/>
      <c r="D51" s="351"/>
      <c r="E51" s="773"/>
      <c r="F51" s="774"/>
    </row>
    <row r="52" spans="1:8" ht="12.75" x14ac:dyDescent="0.2">
      <c r="A52" s="99" t="s">
        <v>507</v>
      </c>
      <c r="B52" s="747"/>
      <c r="C52" s="744"/>
      <c r="D52" s="351"/>
      <c r="E52" s="773"/>
      <c r="F52" s="774"/>
    </row>
    <row r="53" spans="1:8" ht="12.75" x14ac:dyDescent="0.2">
      <c r="A53" s="99" t="s">
        <v>508</v>
      </c>
      <c r="B53" s="747"/>
      <c r="C53" s="744"/>
      <c r="D53" s="351"/>
      <c r="E53" s="773"/>
      <c r="F53" s="774"/>
    </row>
    <row r="54" spans="1:8" ht="12.75" x14ac:dyDescent="0.2">
      <c r="A54" s="100" t="s">
        <v>511</v>
      </c>
      <c r="B54" s="747"/>
      <c r="C54" s="744"/>
      <c r="D54" s="351"/>
      <c r="E54" s="773"/>
      <c r="F54" s="774"/>
    </row>
    <row r="55" spans="1:8" ht="12.75" x14ac:dyDescent="0.2">
      <c r="A55" s="99" t="s">
        <v>512</v>
      </c>
      <c r="B55" s="747"/>
      <c r="C55" s="744"/>
      <c r="D55" s="727">
        <v>524391.04</v>
      </c>
      <c r="E55" s="773">
        <v>90527.360000000001</v>
      </c>
      <c r="F55" s="774"/>
    </row>
    <row r="56" spans="1:8" ht="12.75" x14ac:dyDescent="0.2">
      <c r="A56" s="99" t="s">
        <v>513</v>
      </c>
      <c r="B56" s="747"/>
      <c r="C56" s="744"/>
      <c r="D56" s="351"/>
      <c r="E56" s="773"/>
      <c r="F56" s="774"/>
    </row>
    <row r="57" spans="1:8" ht="12.75" x14ac:dyDescent="0.2">
      <c r="A57" s="101" t="s">
        <v>514</v>
      </c>
      <c r="B57" s="748">
        <f>B46</f>
        <v>1026087.79</v>
      </c>
      <c r="C57" s="749"/>
      <c r="D57" s="728">
        <f>D46+D55</f>
        <v>1856086.99</v>
      </c>
      <c r="E57" s="775">
        <f>E46+E55</f>
        <v>1585433.18</v>
      </c>
      <c r="F57" s="350"/>
    </row>
    <row r="58" spans="1:8" ht="7.5" customHeight="1" x14ac:dyDescent="0.2">
      <c r="A58" s="102"/>
      <c r="B58" s="348"/>
      <c r="C58" s="103"/>
      <c r="D58" s="103"/>
    </row>
    <row r="59" spans="1:8" ht="15" x14ac:dyDescent="0.2">
      <c r="A59" s="104" t="s">
        <v>515</v>
      </c>
      <c r="B59" s="759">
        <f>B43-B57</f>
        <v>898705.81999999983</v>
      </c>
      <c r="C59" s="760"/>
      <c r="D59" s="738">
        <f>D43-D57</f>
        <v>1898381.43</v>
      </c>
      <c r="E59" s="776">
        <f>E43-E57</f>
        <v>3210111.7600000007</v>
      </c>
      <c r="F59" s="604"/>
    </row>
    <row r="60" spans="1:8" ht="8.25" customHeight="1" x14ac:dyDescent="0.2">
      <c r="A60" s="105"/>
      <c r="B60" s="106"/>
      <c r="C60" s="106"/>
      <c r="D60" s="107"/>
      <c r="E60" s="107"/>
      <c r="F60" s="107"/>
    </row>
    <row r="61" spans="1:8" s="110" customFormat="1" ht="12.75" customHeight="1" x14ac:dyDescent="0.2">
      <c r="A61" s="108" t="s">
        <v>516</v>
      </c>
      <c r="B61" s="605">
        <f>B45</f>
        <v>2021</v>
      </c>
      <c r="C61" s="605"/>
      <c r="D61" s="409">
        <f>D45</f>
        <v>2022</v>
      </c>
      <c r="E61" s="605">
        <f>E45</f>
        <v>2023</v>
      </c>
      <c r="F61" s="605"/>
      <c r="G61" s="109"/>
      <c r="H61" s="109"/>
    </row>
    <row r="62" spans="1:8" ht="12.75" x14ac:dyDescent="0.2">
      <c r="A62" s="111" t="s">
        <v>517</v>
      </c>
      <c r="B62" s="645"/>
      <c r="C62" s="646"/>
      <c r="D62" s="352"/>
      <c r="E62" s="645"/>
      <c r="F62" s="646"/>
      <c r="G62" s="112"/>
      <c r="H62" s="112"/>
    </row>
    <row r="63" spans="1:8" ht="7.5" customHeight="1" x14ac:dyDescent="0.2">
      <c r="A63" s="105"/>
      <c r="B63" s="106"/>
      <c r="C63" s="107"/>
      <c r="D63" s="113"/>
      <c r="E63" s="113"/>
      <c r="F63" s="113"/>
    </row>
    <row r="64" spans="1:8" ht="12.75" x14ac:dyDescent="0.2">
      <c r="A64" s="108" t="s">
        <v>518</v>
      </c>
      <c r="B64" s="606">
        <f>B61</f>
        <v>2021</v>
      </c>
      <c r="C64" s="606"/>
      <c r="D64" s="411">
        <f>D61</f>
        <v>2022</v>
      </c>
      <c r="E64" s="606">
        <f>E61</f>
        <v>2023</v>
      </c>
      <c r="F64" s="606"/>
    </row>
    <row r="65" spans="1:6" ht="12.75" customHeight="1" x14ac:dyDescent="0.2">
      <c r="A65" s="111" t="s">
        <v>517</v>
      </c>
      <c r="B65" s="750">
        <v>1809240</v>
      </c>
      <c r="C65" s="751"/>
      <c r="D65" s="729">
        <v>930000</v>
      </c>
      <c r="E65" s="777">
        <v>1569500</v>
      </c>
      <c r="F65" s="778"/>
    </row>
    <row r="66" spans="1:6" ht="12.75" x14ac:dyDescent="0.2">
      <c r="B66" s="114"/>
      <c r="C66" s="115"/>
      <c r="D66" s="115"/>
    </row>
    <row r="67" spans="1:6" ht="12.75" x14ac:dyDescent="0.2">
      <c r="A67" s="108" t="s">
        <v>519</v>
      </c>
      <c r="B67" s="612">
        <f>B64</f>
        <v>2021</v>
      </c>
      <c r="C67" s="613"/>
      <c r="D67" s="116">
        <f>D64</f>
        <v>2022</v>
      </c>
      <c r="E67" s="613">
        <f>E64</f>
        <v>2023</v>
      </c>
      <c r="F67" s="613"/>
    </row>
    <row r="68" spans="1:6" ht="12.75" x14ac:dyDescent="0.2">
      <c r="A68" s="117" t="s">
        <v>520</v>
      </c>
      <c r="B68" s="618"/>
      <c r="C68" s="619"/>
      <c r="D68" s="119"/>
      <c r="E68" s="642"/>
      <c r="F68" s="602"/>
    </row>
    <row r="69" spans="1:6" ht="12.75" x14ac:dyDescent="0.2">
      <c r="A69" s="117" t="s">
        <v>521</v>
      </c>
      <c r="B69" s="620"/>
      <c r="C69" s="621"/>
      <c r="D69" s="120"/>
      <c r="E69" s="643"/>
      <c r="F69" s="600"/>
    </row>
    <row r="70" spans="1:6" ht="12.75" x14ac:dyDescent="0.2">
      <c r="A70" s="88" t="s">
        <v>522</v>
      </c>
      <c r="B70" s="620"/>
      <c r="C70" s="621"/>
      <c r="D70" s="120"/>
      <c r="E70" s="643"/>
      <c r="F70" s="600"/>
    </row>
    <row r="71" spans="1:6" ht="12.75" customHeight="1" x14ac:dyDescent="0.2">
      <c r="A71" s="353" t="s">
        <v>523</v>
      </c>
      <c r="B71" s="622"/>
      <c r="C71" s="623"/>
      <c r="D71" s="121"/>
      <c r="E71" s="644"/>
      <c r="F71" s="601"/>
    </row>
    <row r="72" spans="1:6" ht="12.75" x14ac:dyDescent="0.2">
      <c r="A72" s="172"/>
      <c r="B72" s="172"/>
      <c r="C72" s="172"/>
      <c r="D72" s="172"/>
    </row>
    <row r="73" spans="1:6" ht="12.75" x14ac:dyDescent="0.2">
      <c r="A73" s="123" t="s">
        <v>524</v>
      </c>
      <c r="B73" s="615">
        <f>B67</f>
        <v>2021</v>
      </c>
      <c r="C73" s="614"/>
      <c r="D73" s="408">
        <f>D67</f>
        <v>2022</v>
      </c>
      <c r="E73" s="615">
        <f>E67</f>
        <v>2023</v>
      </c>
      <c r="F73" s="614"/>
    </row>
    <row r="74" spans="1:6" ht="12.75" x14ac:dyDescent="0.2">
      <c r="A74" s="124" t="s">
        <v>525</v>
      </c>
      <c r="B74" s="756">
        <v>488.3</v>
      </c>
      <c r="C74" s="757"/>
      <c r="D74" s="730">
        <f>111459.63+7822.22</f>
        <v>119281.85</v>
      </c>
      <c r="E74" s="784">
        <f>18070.81+555.1+58462.66+2556.6</f>
        <v>79645.170000000013</v>
      </c>
      <c r="F74" s="785"/>
    </row>
    <row r="75" spans="1:6" ht="12.75" x14ac:dyDescent="0.2">
      <c r="A75" s="93" t="s">
        <v>526</v>
      </c>
      <c r="B75" s="758">
        <f>18902125.18-488.3</f>
        <v>18901636.879999999</v>
      </c>
      <c r="C75" s="742"/>
      <c r="D75" s="723">
        <f>20666413.78-D74</f>
        <v>20547131.93</v>
      </c>
      <c r="E75" s="786">
        <f>23857067.74-E74</f>
        <v>23777422.569999997</v>
      </c>
      <c r="F75" s="787"/>
    </row>
    <row r="76" spans="1:6" ht="12.75" x14ac:dyDescent="0.2">
      <c r="A76" s="125" t="s">
        <v>527</v>
      </c>
      <c r="B76" s="624"/>
      <c r="C76" s="625"/>
      <c r="D76" s="222"/>
      <c r="E76" s="616"/>
      <c r="F76" s="617"/>
    </row>
    <row r="77" spans="1:6" ht="9" customHeight="1" x14ac:dyDescent="0.2">
      <c r="A77" s="126"/>
      <c r="B77" s="127"/>
    </row>
    <row r="78" spans="1:6" ht="11.25" customHeight="1" x14ac:dyDescent="0.2">
      <c r="A78" s="117"/>
      <c r="B78" s="172"/>
      <c r="C78" s="118"/>
      <c r="D78" s="118"/>
      <c r="E78" s="118"/>
    </row>
    <row r="79" spans="1:6" ht="11.25" customHeight="1" x14ac:dyDescent="0.2">
      <c r="A79" s="108" t="s">
        <v>528</v>
      </c>
      <c r="B79" s="763">
        <f>C80</f>
        <v>56603.91</v>
      </c>
      <c r="C79" s="763"/>
      <c r="D79" s="731">
        <f>D80</f>
        <v>59145.29</v>
      </c>
      <c r="E79" s="764">
        <f>E80</f>
        <v>78826.259999999995</v>
      </c>
      <c r="F79" s="761"/>
    </row>
    <row r="80" spans="1:6" ht="11.25" customHeight="1" x14ac:dyDescent="0.2">
      <c r="A80" s="117" t="s">
        <v>529</v>
      </c>
      <c r="B80" s="412"/>
      <c r="C80" s="752">
        <v>56603.91</v>
      </c>
      <c r="D80" s="732">
        <v>59145.29</v>
      </c>
      <c r="E80" s="782">
        <v>78826.259999999995</v>
      </c>
      <c r="F80" s="783"/>
    </row>
    <row r="81" spans="1:10" ht="11.25" customHeight="1" x14ac:dyDescent="0.2">
      <c r="A81" s="101" t="s">
        <v>530</v>
      </c>
      <c r="B81" s="627"/>
      <c r="C81" s="628"/>
      <c r="D81" s="128"/>
      <c r="E81" s="629"/>
      <c r="F81" s="630"/>
    </row>
    <row r="82" spans="1:10" ht="11.25" customHeight="1" x14ac:dyDescent="0.2">
      <c r="A82" s="117"/>
      <c r="B82" s="172"/>
      <c r="C82" s="118"/>
      <c r="D82" s="118"/>
      <c r="E82" s="118"/>
    </row>
    <row r="83" spans="1:10" ht="11.25" customHeight="1" x14ac:dyDescent="0.2">
      <c r="A83" s="108" t="s">
        <v>531</v>
      </c>
      <c r="B83" s="762">
        <f>C84</f>
        <v>50479.05</v>
      </c>
      <c r="C83" s="626"/>
      <c r="D83" s="734">
        <f>D84</f>
        <v>42196.71</v>
      </c>
      <c r="E83" s="764">
        <f>E84</f>
        <v>49251.479999999981</v>
      </c>
      <c r="F83" s="761"/>
    </row>
    <row r="84" spans="1:10" ht="11.25" customHeight="1" x14ac:dyDescent="0.2">
      <c r="A84" s="113" t="s">
        <v>532</v>
      </c>
      <c r="B84" s="129"/>
      <c r="C84" s="753">
        <v>50479.05</v>
      </c>
      <c r="D84" s="733">
        <v>42196.71</v>
      </c>
      <c r="E84" s="780">
        <f>1634684.66-E57</f>
        <v>49251.479999999981</v>
      </c>
      <c r="F84" s="781"/>
    </row>
    <row r="85" spans="1:10" ht="11.25" customHeight="1" x14ac:dyDescent="0.2">
      <c r="A85" s="117" t="s">
        <v>533</v>
      </c>
      <c r="B85" s="413"/>
      <c r="C85" s="118"/>
      <c r="D85" s="131"/>
      <c r="E85" s="779"/>
      <c r="F85" s="765"/>
    </row>
    <row r="86" spans="1:10" ht="11.25" customHeight="1" x14ac:dyDescent="0.2">
      <c r="A86" s="101" t="s">
        <v>534</v>
      </c>
      <c r="B86" s="754">
        <f>C84</f>
        <v>50479.05</v>
      </c>
      <c r="C86" s="755"/>
      <c r="D86" s="735">
        <f>D83</f>
        <v>42196.71</v>
      </c>
      <c r="E86" s="766">
        <f>E83</f>
        <v>49251.479999999981</v>
      </c>
      <c r="F86" s="767"/>
    </row>
    <row r="87" spans="1:10" ht="11.25" customHeight="1" x14ac:dyDescent="0.2">
      <c r="A87" s="117"/>
      <c r="B87" s="172"/>
      <c r="C87" s="118"/>
      <c r="D87" s="118"/>
      <c r="E87" s="118"/>
    </row>
    <row r="88" spans="1:10" ht="11.25" customHeight="1" x14ac:dyDescent="0.2">
      <c r="A88" s="132" t="s">
        <v>535</v>
      </c>
      <c r="B88" s="754">
        <f>C80-C84</f>
        <v>6124.8600000000006</v>
      </c>
      <c r="C88" s="755"/>
      <c r="D88" s="736">
        <f>D79-D83</f>
        <v>16948.580000000002</v>
      </c>
      <c r="E88" s="766">
        <f>E79-E83</f>
        <v>29574.780000000013</v>
      </c>
      <c r="F88" s="767"/>
    </row>
    <row r="89" spans="1:10" ht="11.25" customHeight="1" thickBot="1" x14ac:dyDescent="0.25">
      <c r="A89" s="117"/>
      <c r="B89" s="172"/>
      <c r="C89" s="118"/>
      <c r="D89" s="118"/>
      <c r="E89" s="118"/>
    </row>
    <row r="90" spans="1:10" ht="20.100000000000001" customHeight="1" thickBot="1" x14ac:dyDescent="0.25">
      <c r="A90" s="638" t="s">
        <v>536</v>
      </c>
      <c r="B90" s="638"/>
      <c r="C90" s="638"/>
      <c r="D90" s="638"/>
      <c r="E90" s="638"/>
      <c r="F90" s="638"/>
    </row>
    <row r="91" spans="1:10" ht="9.75" customHeight="1" x14ac:dyDescent="0.2">
      <c r="A91" s="639"/>
      <c r="B91" s="640"/>
      <c r="C91" s="640"/>
      <c r="D91" s="640"/>
      <c r="E91" s="640"/>
      <c r="F91" s="640"/>
    </row>
    <row r="92" spans="1:10" ht="9.75" customHeight="1" x14ac:dyDescent="0.2">
      <c r="A92" s="632" t="s">
        <v>486</v>
      </c>
      <c r="B92" s="633"/>
      <c r="C92" s="633"/>
      <c r="D92" s="633"/>
      <c r="E92" s="633"/>
      <c r="F92" s="633"/>
      <c r="G92" s="133"/>
      <c r="H92" s="133"/>
      <c r="I92" s="133"/>
      <c r="J92" s="133"/>
    </row>
    <row r="93" spans="1:10" ht="39" customHeight="1" x14ac:dyDescent="0.2">
      <c r="A93" s="613" t="s">
        <v>537</v>
      </c>
      <c r="B93" s="408" t="s">
        <v>538</v>
      </c>
      <c r="C93" s="408" t="s">
        <v>539</v>
      </c>
      <c r="D93" s="408" t="s">
        <v>540</v>
      </c>
      <c r="E93" s="615" t="s">
        <v>541</v>
      </c>
      <c r="F93" s="614"/>
    </row>
    <row r="94" spans="1:10" ht="9.75" customHeight="1" x14ac:dyDescent="0.2">
      <c r="A94" s="634"/>
      <c r="B94" s="415" t="s">
        <v>542</v>
      </c>
      <c r="C94" s="415" t="s">
        <v>385</v>
      </c>
      <c r="D94" s="415" t="s">
        <v>543</v>
      </c>
      <c r="E94" s="635" t="s">
        <v>544</v>
      </c>
      <c r="F94" s="636"/>
    </row>
    <row r="95" spans="1:10" ht="12" customHeight="1" x14ac:dyDescent="0.2">
      <c r="A95" s="795">
        <v>2024</v>
      </c>
      <c r="B95" s="790">
        <v>2118096.23</v>
      </c>
      <c r="C95" s="790">
        <v>1671095.07</v>
      </c>
      <c r="D95" s="790">
        <f>B95-C95</f>
        <v>447001.15999999992</v>
      </c>
      <c r="E95" s="791">
        <v>24201854.420000002</v>
      </c>
    </row>
    <row r="96" spans="1:10" ht="12" customHeight="1" x14ac:dyDescent="0.2">
      <c r="A96" s="795">
        <v>2025</v>
      </c>
      <c r="B96" s="791">
        <v>2207706.64</v>
      </c>
      <c r="C96" s="790">
        <v>1667071.49</v>
      </c>
      <c r="D96" s="790">
        <f t="shared" ref="D96:D159" si="0">B96-C96</f>
        <v>540635.15000000014</v>
      </c>
      <c r="E96" s="791">
        <f>E95+D96</f>
        <v>24742489.57</v>
      </c>
    </row>
    <row r="97" spans="1:6" ht="12" customHeight="1" x14ac:dyDescent="0.2">
      <c r="A97" s="796">
        <v>2026</v>
      </c>
      <c r="B97" s="792">
        <v>2132652.39</v>
      </c>
      <c r="C97" s="793">
        <v>1589899.42</v>
      </c>
      <c r="D97" s="790">
        <f t="shared" si="0"/>
        <v>542752.9700000002</v>
      </c>
      <c r="E97" s="791">
        <f t="shared" ref="E97:E160" si="1">E96+D97</f>
        <v>25285242.539999999</v>
      </c>
      <c r="F97" s="122"/>
    </row>
    <row r="98" spans="1:6" ht="12" customHeight="1" x14ac:dyDescent="0.2">
      <c r="A98" s="795">
        <v>2027</v>
      </c>
      <c r="B98" s="797">
        <v>2053813.53</v>
      </c>
      <c r="C98" s="797">
        <v>1614426.93</v>
      </c>
      <c r="D98" s="790">
        <f t="shared" si="0"/>
        <v>439386.60000000009</v>
      </c>
      <c r="E98" s="791">
        <f t="shared" si="1"/>
        <v>25724629.140000001</v>
      </c>
      <c r="F98" s="414"/>
    </row>
    <row r="99" spans="1:6" ht="12" customHeight="1" x14ac:dyDescent="0.2">
      <c r="A99" s="795">
        <v>2028</v>
      </c>
      <c r="B99" s="797">
        <v>1745161.77</v>
      </c>
      <c r="C99" s="797">
        <v>1610855.76</v>
      </c>
      <c r="D99" s="790">
        <f t="shared" si="0"/>
        <v>134306.01</v>
      </c>
      <c r="E99" s="791">
        <f t="shared" si="1"/>
        <v>25858935.150000002</v>
      </c>
      <c r="F99" s="414"/>
    </row>
    <row r="100" spans="1:6" ht="12" customHeight="1" x14ac:dyDescent="0.2">
      <c r="A100" s="796">
        <v>2029</v>
      </c>
      <c r="B100" s="797">
        <v>1668327.35</v>
      </c>
      <c r="C100" s="797">
        <v>1774579.35</v>
      </c>
      <c r="D100" s="790">
        <f t="shared" si="0"/>
        <v>-106252</v>
      </c>
      <c r="E100" s="791">
        <f t="shared" si="1"/>
        <v>25752683.150000002</v>
      </c>
      <c r="F100" s="414"/>
    </row>
    <row r="101" spans="1:6" ht="12" customHeight="1" x14ac:dyDescent="0.2">
      <c r="A101" s="795">
        <v>2030</v>
      </c>
      <c r="B101" s="797">
        <v>1593640.21</v>
      </c>
      <c r="C101" s="797">
        <v>1793837.5</v>
      </c>
      <c r="D101" s="790">
        <f t="shared" si="0"/>
        <v>-200197.29000000004</v>
      </c>
      <c r="E101" s="791">
        <f t="shared" si="1"/>
        <v>25552485.860000003</v>
      </c>
      <c r="F101" s="414"/>
    </row>
    <row r="102" spans="1:6" ht="12" customHeight="1" x14ac:dyDescent="0.2">
      <c r="A102" s="795">
        <v>2031</v>
      </c>
      <c r="B102" s="797">
        <v>1520863.61</v>
      </c>
      <c r="C102" s="797">
        <v>1808699.15</v>
      </c>
      <c r="D102" s="790">
        <f t="shared" si="0"/>
        <v>-287835.5399999998</v>
      </c>
      <c r="E102" s="791">
        <f t="shared" si="1"/>
        <v>25264650.320000004</v>
      </c>
      <c r="F102" s="414"/>
    </row>
    <row r="103" spans="1:6" ht="12" customHeight="1" x14ac:dyDescent="0.2">
      <c r="A103" s="796">
        <v>2032</v>
      </c>
      <c r="B103" s="797">
        <v>1444219.44</v>
      </c>
      <c r="C103" s="797">
        <v>1806936.24</v>
      </c>
      <c r="D103" s="790">
        <f t="shared" si="0"/>
        <v>-362716.80000000005</v>
      </c>
      <c r="E103" s="791">
        <f t="shared" si="1"/>
        <v>24901933.520000003</v>
      </c>
      <c r="F103" s="414"/>
    </row>
    <row r="104" spans="1:6" ht="12" customHeight="1" x14ac:dyDescent="0.2">
      <c r="A104" s="795">
        <v>2033</v>
      </c>
      <c r="B104" s="797">
        <v>1372347.71</v>
      </c>
      <c r="C104" s="797">
        <v>1907392.81</v>
      </c>
      <c r="D104" s="790">
        <f t="shared" si="0"/>
        <v>-535045.10000000009</v>
      </c>
      <c r="E104" s="791">
        <f t="shared" si="1"/>
        <v>24366888.420000002</v>
      </c>
      <c r="F104" s="414"/>
    </row>
    <row r="105" spans="1:6" ht="12" customHeight="1" x14ac:dyDescent="0.2">
      <c r="A105" s="795">
        <v>2034</v>
      </c>
      <c r="B105" s="797">
        <v>1305400.3700000001</v>
      </c>
      <c r="C105" s="797">
        <v>2006135.03</v>
      </c>
      <c r="D105" s="790">
        <f t="shared" si="0"/>
        <v>-700734.65999999992</v>
      </c>
      <c r="E105" s="791">
        <f t="shared" si="1"/>
        <v>23666153.760000002</v>
      </c>
      <c r="F105" s="414"/>
    </row>
    <row r="106" spans="1:6" ht="12" customHeight="1" x14ac:dyDescent="0.2">
      <c r="A106" s="796">
        <v>2035</v>
      </c>
      <c r="B106" s="797">
        <v>1219834.1200000001</v>
      </c>
      <c r="C106" s="797">
        <v>2114617.14</v>
      </c>
      <c r="D106" s="790">
        <f t="shared" si="0"/>
        <v>-894783.02</v>
      </c>
      <c r="E106" s="791">
        <f t="shared" si="1"/>
        <v>22771370.740000002</v>
      </c>
      <c r="F106" s="414"/>
    </row>
    <row r="107" spans="1:6" ht="12" customHeight="1" x14ac:dyDescent="0.2">
      <c r="A107" s="795">
        <v>2036</v>
      </c>
      <c r="B107" s="797">
        <v>1145597.06</v>
      </c>
      <c r="C107" s="797">
        <v>2146760.62</v>
      </c>
      <c r="D107" s="790">
        <f t="shared" si="0"/>
        <v>-1001163.56</v>
      </c>
      <c r="E107" s="791">
        <f t="shared" si="1"/>
        <v>21770207.180000003</v>
      </c>
      <c r="F107" s="414"/>
    </row>
    <row r="108" spans="1:6" ht="12" customHeight="1" x14ac:dyDescent="0.2">
      <c r="A108" s="795">
        <v>2037</v>
      </c>
      <c r="B108" s="797">
        <v>1076932.19</v>
      </c>
      <c r="C108" s="797">
        <v>2141419.14</v>
      </c>
      <c r="D108" s="790">
        <f t="shared" si="0"/>
        <v>-1064486.9500000002</v>
      </c>
      <c r="E108" s="791">
        <f t="shared" si="1"/>
        <v>20705720.230000004</v>
      </c>
      <c r="F108" s="414"/>
    </row>
    <row r="109" spans="1:6" ht="12" customHeight="1" x14ac:dyDescent="0.2">
      <c r="A109" s="796">
        <v>2038</v>
      </c>
      <c r="B109" s="797">
        <v>1034350.67</v>
      </c>
      <c r="C109" s="797">
        <v>2012333.27</v>
      </c>
      <c r="D109" s="790">
        <f t="shared" si="0"/>
        <v>-977982.6</v>
      </c>
      <c r="E109" s="791">
        <f t="shared" si="1"/>
        <v>19727737.630000003</v>
      </c>
      <c r="F109" s="414"/>
    </row>
    <row r="110" spans="1:6" ht="12" customHeight="1" x14ac:dyDescent="0.2">
      <c r="A110" s="795">
        <v>2039</v>
      </c>
      <c r="B110" s="794">
        <v>980899.44</v>
      </c>
      <c r="C110" s="794">
        <v>1923667.3</v>
      </c>
      <c r="D110" s="790">
        <f t="shared" si="0"/>
        <v>-942767.8600000001</v>
      </c>
      <c r="E110" s="791">
        <f t="shared" si="1"/>
        <v>18784969.770000003</v>
      </c>
      <c r="F110" s="414"/>
    </row>
    <row r="111" spans="1:6" ht="12" customHeight="1" x14ac:dyDescent="0.2">
      <c r="A111" s="795">
        <v>2040</v>
      </c>
      <c r="B111" s="794">
        <v>941728.91</v>
      </c>
      <c r="C111" s="794">
        <v>1805473.11</v>
      </c>
      <c r="D111" s="790">
        <f t="shared" si="0"/>
        <v>-863744.20000000007</v>
      </c>
      <c r="E111" s="791">
        <f t="shared" si="1"/>
        <v>17921225.570000004</v>
      </c>
      <c r="F111" s="414"/>
    </row>
    <row r="112" spans="1:6" ht="12" customHeight="1" x14ac:dyDescent="0.2">
      <c r="A112" s="796">
        <v>2041</v>
      </c>
      <c r="B112" s="88">
        <v>892059.79</v>
      </c>
      <c r="C112" s="794">
        <v>1732398.25</v>
      </c>
      <c r="D112" s="790">
        <f>C111-C112</f>
        <v>73074.860000000102</v>
      </c>
      <c r="E112" s="791">
        <f t="shared" si="1"/>
        <v>17994300.430000003</v>
      </c>
      <c r="F112" s="414"/>
    </row>
    <row r="113" spans="1:6" ht="12" customHeight="1" x14ac:dyDescent="0.2">
      <c r="A113" s="795">
        <v>2042</v>
      </c>
      <c r="B113" s="794">
        <v>855973.4</v>
      </c>
      <c r="C113" s="794">
        <v>1623698.01</v>
      </c>
      <c r="D113" s="790">
        <f t="shared" si="0"/>
        <v>-767724.61</v>
      </c>
      <c r="E113" s="791">
        <f t="shared" si="1"/>
        <v>17226575.820000004</v>
      </c>
      <c r="F113" s="414"/>
    </row>
    <row r="114" spans="1:6" ht="12" customHeight="1" x14ac:dyDescent="0.2">
      <c r="A114" s="795">
        <v>2043</v>
      </c>
      <c r="B114" s="794">
        <v>806316.68</v>
      </c>
      <c r="C114" s="794">
        <v>1629674.13</v>
      </c>
      <c r="D114" s="790">
        <f t="shared" si="0"/>
        <v>-823357.44999999984</v>
      </c>
      <c r="E114" s="791">
        <f t="shared" si="1"/>
        <v>16403218.370000005</v>
      </c>
      <c r="F114" s="414"/>
    </row>
    <row r="115" spans="1:6" ht="12" customHeight="1" x14ac:dyDescent="0.2">
      <c r="A115" s="796">
        <v>2044</v>
      </c>
      <c r="B115" s="794">
        <v>765001.58</v>
      </c>
      <c r="C115" s="794">
        <v>1576554.64</v>
      </c>
      <c r="D115" s="790">
        <f t="shared" si="0"/>
        <v>-811553.05999999994</v>
      </c>
      <c r="E115" s="791">
        <f t="shared" si="1"/>
        <v>15591665.310000004</v>
      </c>
      <c r="F115" s="414"/>
    </row>
    <row r="116" spans="1:6" ht="12" customHeight="1" x14ac:dyDescent="0.2">
      <c r="A116" s="795">
        <v>2045</v>
      </c>
      <c r="B116" s="794">
        <v>733154.31</v>
      </c>
      <c r="C116" s="794">
        <v>1473401.7</v>
      </c>
      <c r="D116" s="790">
        <f t="shared" si="0"/>
        <v>-740247.3899999999</v>
      </c>
      <c r="E116" s="791">
        <f t="shared" si="1"/>
        <v>14851417.920000004</v>
      </c>
      <c r="F116" s="414"/>
    </row>
    <row r="117" spans="1:6" ht="12" customHeight="1" x14ac:dyDescent="0.2">
      <c r="A117" s="795">
        <v>2046</v>
      </c>
      <c r="B117" s="794">
        <v>699530.35</v>
      </c>
      <c r="C117" s="794">
        <v>1388708.07</v>
      </c>
      <c r="D117" s="790">
        <f t="shared" si="0"/>
        <v>-689177.72000000009</v>
      </c>
      <c r="E117" s="791">
        <f t="shared" si="1"/>
        <v>14162240.200000003</v>
      </c>
      <c r="F117" s="414"/>
    </row>
    <row r="118" spans="1:6" ht="12" customHeight="1" x14ac:dyDescent="0.2">
      <c r="A118" s="796">
        <v>2047</v>
      </c>
      <c r="B118" s="794">
        <v>662439.14</v>
      </c>
      <c r="C118" s="794">
        <v>1341649.01</v>
      </c>
      <c r="D118" s="790">
        <f t="shared" si="0"/>
        <v>-679209.87</v>
      </c>
      <c r="E118" s="791">
        <f t="shared" si="1"/>
        <v>13483030.330000004</v>
      </c>
      <c r="F118" s="414"/>
    </row>
    <row r="119" spans="1:6" ht="12" customHeight="1" x14ac:dyDescent="0.2">
      <c r="A119" s="795">
        <v>2048</v>
      </c>
      <c r="B119" s="794">
        <v>621809.82999999996</v>
      </c>
      <c r="C119" s="794">
        <v>1309297.53</v>
      </c>
      <c r="D119" s="790">
        <f t="shared" si="0"/>
        <v>-687487.70000000007</v>
      </c>
      <c r="E119" s="791">
        <f t="shared" si="1"/>
        <v>12795542.630000005</v>
      </c>
      <c r="F119" s="414"/>
    </row>
    <row r="120" spans="1:6" ht="12" customHeight="1" x14ac:dyDescent="0.2">
      <c r="A120" s="795">
        <v>2049</v>
      </c>
      <c r="B120" s="794">
        <v>569823.54</v>
      </c>
      <c r="C120" s="794">
        <v>1358901.89</v>
      </c>
      <c r="D120" s="790">
        <f t="shared" si="0"/>
        <v>-789078.34999999986</v>
      </c>
      <c r="E120" s="791">
        <f t="shared" si="1"/>
        <v>12006464.280000005</v>
      </c>
      <c r="F120" s="414"/>
    </row>
    <row r="121" spans="1:6" ht="12" customHeight="1" x14ac:dyDescent="0.2">
      <c r="A121" s="796">
        <v>2050</v>
      </c>
      <c r="B121" s="794">
        <v>538890.41</v>
      </c>
      <c r="C121" s="794">
        <v>1285684.75</v>
      </c>
      <c r="D121" s="790">
        <f t="shared" si="0"/>
        <v>-746794.34</v>
      </c>
      <c r="E121" s="791">
        <f t="shared" si="1"/>
        <v>11259669.940000005</v>
      </c>
      <c r="F121" s="414"/>
    </row>
    <row r="122" spans="1:6" ht="12" customHeight="1" x14ac:dyDescent="0.2">
      <c r="A122" s="795">
        <v>2051</v>
      </c>
      <c r="B122" s="794">
        <v>511826.36</v>
      </c>
      <c r="C122" s="794">
        <v>1205595.17</v>
      </c>
      <c r="D122" s="790">
        <f t="shared" si="0"/>
        <v>-693768.80999999994</v>
      </c>
      <c r="E122" s="791">
        <f t="shared" si="1"/>
        <v>10565901.130000005</v>
      </c>
      <c r="F122" s="414"/>
    </row>
    <row r="123" spans="1:6" ht="12" customHeight="1" x14ac:dyDescent="0.2">
      <c r="A123" s="795">
        <v>2052</v>
      </c>
      <c r="B123" s="794">
        <v>487347.63</v>
      </c>
      <c r="C123" s="794">
        <v>1128825.2</v>
      </c>
      <c r="D123" s="790">
        <f t="shared" si="0"/>
        <v>-641477.56999999995</v>
      </c>
      <c r="E123" s="791">
        <f t="shared" si="1"/>
        <v>9924423.5600000042</v>
      </c>
      <c r="F123" s="414"/>
    </row>
    <row r="124" spans="1:6" ht="12" customHeight="1" x14ac:dyDescent="0.2">
      <c r="A124" s="796">
        <v>2053</v>
      </c>
      <c r="B124" s="794">
        <v>462891.39</v>
      </c>
      <c r="C124" s="794">
        <v>1060813.92</v>
      </c>
      <c r="D124" s="790">
        <f t="shared" si="0"/>
        <v>-597922.52999999991</v>
      </c>
      <c r="E124" s="791">
        <f t="shared" si="1"/>
        <v>9326501.0300000049</v>
      </c>
      <c r="F124" s="414"/>
    </row>
    <row r="125" spans="1:6" ht="12" customHeight="1" x14ac:dyDescent="0.2">
      <c r="A125" s="795">
        <v>2054</v>
      </c>
      <c r="B125" s="794">
        <v>440945.77</v>
      </c>
      <c r="C125" s="794">
        <v>988784.33</v>
      </c>
      <c r="D125" s="790">
        <f t="shared" si="0"/>
        <v>-547838.55999999994</v>
      </c>
      <c r="E125" s="791">
        <f t="shared" si="1"/>
        <v>8778662.4700000044</v>
      </c>
      <c r="F125" s="414"/>
    </row>
    <row r="126" spans="1:6" ht="12" customHeight="1" x14ac:dyDescent="0.2">
      <c r="A126" s="795">
        <v>2055</v>
      </c>
      <c r="B126" s="794">
        <v>414449.01</v>
      </c>
      <c r="C126" s="794">
        <v>944273.55</v>
      </c>
      <c r="D126" s="790">
        <f t="shared" si="0"/>
        <v>-529824.54</v>
      </c>
      <c r="E126" s="791">
        <f t="shared" si="1"/>
        <v>8248837.9300000044</v>
      </c>
      <c r="F126" s="414"/>
    </row>
    <row r="127" spans="1:6" ht="12" customHeight="1" x14ac:dyDescent="0.2">
      <c r="A127" s="796">
        <v>2056</v>
      </c>
      <c r="B127" s="794">
        <v>389408.74</v>
      </c>
      <c r="C127" s="794">
        <v>898343.12</v>
      </c>
      <c r="D127" s="790">
        <f t="shared" si="0"/>
        <v>-508934.38</v>
      </c>
      <c r="E127" s="791">
        <f t="shared" si="1"/>
        <v>7739903.5500000045</v>
      </c>
      <c r="F127" s="414"/>
    </row>
    <row r="128" spans="1:6" ht="12" customHeight="1" x14ac:dyDescent="0.2">
      <c r="A128" s="795">
        <v>2057</v>
      </c>
      <c r="B128" s="794">
        <v>372655.22</v>
      </c>
      <c r="C128" s="794">
        <v>826025.4</v>
      </c>
      <c r="D128" s="790">
        <f t="shared" si="0"/>
        <v>-453370.18000000005</v>
      </c>
      <c r="E128" s="791">
        <f t="shared" si="1"/>
        <v>7286533.3700000048</v>
      </c>
      <c r="F128" s="414"/>
    </row>
    <row r="129" spans="1:6" ht="12" customHeight="1" x14ac:dyDescent="0.2">
      <c r="A129" s="795">
        <v>2058</v>
      </c>
      <c r="B129" s="794">
        <v>356867.51</v>
      </c>
      <c r="C129" s="794">
        <v>758956.52</v>
      </c>
      <c r="D129" s="790">
        <f t="shared" si="0"/>
        <v>-402089.01</v>
      </c>
      <c r="E129" s="791">
        <f t="shared" si="1"/>
        <v>6884444.360000005</v>
      </c>
      <c r="F129" s="414"/>
    </row>
    <row r="130" spans="1:6" ht="12" customHeight="1" x14ac:dyDescent="0.2">
      <c r="A130" s="796">
        <v>2059</v>
      </c>
      <c r="B130" s="794">
        <v>61534.19</v>
      </c>
      <c r="C130" s="794">
        <v>695189.06</v>
      </c>
      <c r="D130" s="790">
        <f t="shared" si="0"/>
        <v>-633654.87000000011</v>
      </c>
      <c r="E130" s="791">
        <f t="shared" si="1"/>
        <v>6250789.4900000049</v>
      </c>
      <c r="F130" s="414"/>
    </row>
    <row r="131" spans="1:6" ht="12" customHeight="1" x14ac:dyDescent="0.2">
      <c r="A131" s="795">
        <v>2060</v>
      </c>
      <c r="B131" s="794">
        <v>55256.72</v>
      </c>
      <c r="C131" s="794">
        <v>634773.75</v>
      </c>
      <c r="D131" s="790">
        <f t="shared" si="0"/>
        <v>-579517.03</v>
      </c>
      <c r="E131" s="791">
        <f t="shared" si="1"/>
        <v>5671272.4600000046</v>
      </c>
      <c r="F131" s="414"/>
    </row>
    <row r="132" spans="1:6" ht="12" customHeight="1" x14ac:dyDescent="0.2">
      <c r="A132" s="795">
        <v>2061</v>
      </c>
      <c r="B132" s="794">
        <v>49451.88</v>
      </c>
      <c r="C132" s="794">
        <v>578187.43999999994</v>
      </c>
      <c r="D132" s="790">
        <f t="shared" si="0"/>
        <v>-528735.55999999994</v>
      </c>
      <c r="E132" s="791">
        <f t="shared" si="1"/>
        <v>5142536.900000005</v>
      </c>
      <c r="F132" s="414"/>
    </row>
    <row r="133" spans="1:6" ht="12" customHeight="1" x14ac:dyDescent="0.2">
      <c r="A133" s="795">
        <v>2062</v>
      </c>
      <c r="B133" s="794">
        <v>44103.24</v>
      </c>
      <c r="C133" s="794">
        <v>525214.82999999996</v>
      </c>
      <c r="D133" s="790">
        <f t="shared" si="0"/>
        <v>-481111.58999999997</v>
      </c>
      <c r="E133" s="791">
        <f t="shared" si="1"/>
        <v>4661425.3100000052</v>
      </c>
      <c r="F133" s="414"/>
    </row>
    <row r="134" spans="1:6" ht="12" customHeight="1" x14ac:dyDescent="0.2">
      <c r="A134" s="795">
        <v>2063</v>
      </c>
      <c r="B134" s="794">
        <v>39204.03</v>
      </c>
      <c r="C134" s="794">
        <v>475831.02</v>
      </c>
      <c r="D134" s="790">
        <f t="shared" si="0"/>
        <v>-436626.99</v>
      </c>
      <c r="E134" s="791">
        <f t="shared" si="1"/>
        <v>4224798.320000005</v>
      </c>
      <c r="F134" s="414"/>
    </row>
    <row r="135" spans="1:6" ht="12" customHeight="1" x14ac:dyDescent="0.2">
      <c r="A135" s="796">
        <v>2064</v>
      </c>
      <c r="B135" s="794">
        <v>34716.75</v>
      </c>
      <c r="C135" s="794">
        <v>429852.73</v>
      </c>
      <c r="D135" s="790">
        <f t="shared" si="0"/>
        <v>-395135.98</v>
      </c>
      <c r="E135" s="791">
        <f t="shared" si="1"/>
        <v>3829662.340000005</v>
      </c>
      <c r="F135" s="414"/>
    </row>
    <row r="136" spans="1:6" ht="12" customHeight="1" x14ac:dyDescent="0.2">
      <c r="A136" s="795">
        <v>2065</v>
      </c>
      <c r="B136" s="794">
        <v>30627.15</v>
      </c>
      <c r="C136" s="794">
        <v>387220.8</v>
      </c>
      <c r="D136" s="790">
        <f t="shared" si="0"/>
        <v>-356593.64999999997</v>
      </c>
      <c r="E136" s="791">
        <f t="shared" si="1"/>
        <v>3473068.6900000051</v>
      </c>
      <c r="F136" s="414"/>
    </row>
    <row r="137" spans="1:6" ht="12" customHeight="1" x14ac:dyDescent="0.2">
      <c r="A137" s="795">
        <v>2066</v>
      </c>
      <c r="B137" s="794">
        <v>26919.53</v>
      </c>
      <c r="C137" s="794">
        <v>347860.76</v>
      </c>
      <c r="D137" s="790">
        <f t="shared" si="0"/>
        <v>-320941.23</v>
      </c>
      <c r="E137" s="791">
        <f t="shared" si="1"/>
        <v>3152127.4600000051</v>
      </c>
      <c r="F137" s="414"/>
    </row>
    <row r="138" spans="1:6" ht="12" customHeight="1" x14ac:dyDescent="0.2">
      <c r="A138" s="795">
        <v>2067</v>
      </c>
      <c r="B138" s="794">
        <v>23578.3</v>
      </c>
      <c r="C138" s="794">
        <v>311651.40000000002</v>
      </c>
      <c r="D138" s="790">
        <f t="shared" si="0"/>
        <v>-288073.10000000003</v>
      </c>
      <c r="E138" s="791">
        <f t="shared" si="1"/>
        <v>2864054.360000005</v>
      </c>
      <c r="F138" s="414"/>
    </row>
    <row r="139" spans="1:6" ht="12" customHeight="1" x14ac:dyDescent="0.2">
      <c r="A139" s="795">
        <v>2068</v>
      </c>
      <c r="B139" s="794">
        <v>20568.990000000002</v>
      </c>
      <c r="C139" s="794">
        <v>278406.40999999997</v>
      </c>
      <c r="D139" s="790">
        <f t="shared" si="0"/>
        <v>-257837.41999999998</v>
      </c>
      <c r="E139" s="791">
        <f t="shared" si="1"/>
        <v>2606216.9400000051</v>
      </c>
      <c r="F139" s="414"/>
    </row>
    <row r="140" spans="1:6" ht="12" customHeight="1" x14ac:dyDescent="0.2">
      <c r="A140" s="796">
        <v>2069</v>
      </c>
      <c r="B140" s="794">
        <v>17866.8</v>
      </c>
      <c r="C140" s="794">
        <v>247959.58</v>
      </c>
      <c r="D140" s="790">
        <f t="shared" si="0"/>
        <v>-230092.78</v>
      </c>
      <c r="E140" s="791">
        <f t="shared" si="1"/>
        <v>2376124.1600000053</v>
      </c>
      <c r="F140" s="414"/>
    </row>
    <row r="141" spans="1:6" ht="12" customHeight="1" x14ac:dyDescent="0.2">
      <c r="A141" s="795">
        <v>2070</v>
      </c>
      <c r="B141" s="794">
        <v>15446.72</v>
      </c>
      <c r="C141" s="794">
        <v>220074.04</v>
      </c>
      <c r="D141" s="790">
        <f t="shared" si="0"/>
        <v>-204627.32</v>
      </c>
      <c r="E141" s="791">
        <f t="shared" si="1"/>
        <v>2171496.8400000054</v>
      </c>
      <c r="F141" s="414"/>
    </row>
    <row r="142" spans="1:6" ht="12" customHeight="1" x14ac:dyDescent="0.2">
      <c r="A142" s="795">
        <v>2071</v>
      </c>
      <c r="B142" s="794">
        <v>13285.81</v>
      </c>
      <c r="C142" s="794">
        <v>194565.06</v>
      </c>
      <c r="D142" s="790">
        <f t="shared" si="0"/>
        <v>-181279.25</v>
      </c>
      <c r="E142" s="791">
        <f t="shared" si="1"/>
        <v>1990217.5900000054</v>
      </c>
      <c r="F142" s="414"/>
    </row>
    <row r="143" spans="1:6" ht="12" customHeight="1" x14ac:dyDescent="0.2">
      <c r="A143" s="795">
        <v>2072</v>
      </c>
      <c r="B143" s="794">
        <v>11363.63</v>
      </c>
      <c r="C143" s="794">
        <v>171276.79</v>
      </c>
      <c r="D143" s="790">
        <f t="shared" si="0"/>
        <v>-159913.16</v>
      </c>
      <c r="E143" s="791">
        <f t="shared" si="1"/>
        <v>1830304.4300000055</v>
      </c>
      <c r="F143" s="414"/>
    </row>
    <row r="144" spans="1:6" ht="12" customHeight="1" x14ac:dyDescent="0.2">
      <c r="A144" s="795">
        <v>2073</v>
      </c>
      <c r="B144" s="794">
        <v>9663.17</v>
      </c>
      <c r="C144" s="794">
        <v>150091.44</v>
      </c>
      <c r="D144" s="790">
        <f t="shared" si="0"/>
        <v>-140428.26999999999</v>
      </c>
      <c r="E144" s="791">
        <f t="shared" si="1"/>
        <v>1689876.1600000055</v>
      </c>
      <c r="F144" s="414"/>
    </row>
    <row r="145" spans="1:6" ht="12" customHeight="1" x14ac:dyDescent="0.2">
      <c r="A145" s="796">
        <v>2074</v>
      </c>
      <c r="B145" s="794">
        <v>8162.89</v>
      </c>
      <c r="C145" s="794">
        <v>130857.41</v>
      </c>
      <c r="D145" s="790">
        <f t="shared" si="0"/>
        <v>-122694.52</v>
      </c>
      <c r="E145" s="791">
        <f t="shared" si="1"/>
        <v>1567181.6400000055</v>
      </c>
      <c r="F145" s="414"/>
    </row>
    <row r="146" spans="1:6" ht="12" customHeight="1" x14ac:dyDescent="0.2">
      <c r="A146" s="795">
        <v>2075</v>
      </c>
      <c r="B146" s="794">
        <v>6847.29</v>
      </c>
      <c r="C146" s="794">
        <v>113463.5</v>
      </c>
      <c r="D146" s="790">
        <f t="shared" si="0"/>
        <v>-106616.21</v>
      </c>
      <c r="E146" s="791">
        <f t="shared" si="1"/>
        <v>1460565.4300000055</v>
      </c>
      <c r="F146" s="414"/>
    </row>
    <row r="147" spans="1:6" ht="12" customHeight="1" x14ac:dyDescent="0.2">
      <c r="A147" s="795">
        <v>2076</v>
      </c>
      <c r="B147" s="794">
        <v>5706.58</v>
      </c>
      <c r="C147" s="794">
        <v>97832.01</v>
      </c>
      <c r="D147" s="790">
        <f t="shared" si="0"/>
        <v>-92125.43</v>
      </c>
      <c r="E147" s="791">
        <f t="shared" si="1"/>
        <v>1368440.0000000056</v>
      </c>
      <c r="F147" s="414"/>
    </row>
    <row r="148" spans="1:6" ht="12" customHeight="1" x14ac:dyDescent="0.2">
      <c r="A148" s="795">
        <v>2077</v>
      </c>
      <c r="B148" s="794">
        <v>4719.84</v>
      </c>
      <c r="C148" s="794">
        <v>83842.27</v>
      </c>
      <c r="D148" s="790">
        <f t="shared" si="0"/>
        <v>-79122.430000000008</v>
      </c>
      <c r="E148" s="791">
        <f t="shared" si="1"/>
        <v>1289317.5700000057</v>
      </c>
      <c r="F148" s="414"/>
    </row>
    <row r="149" spans="1:6" ht="12" customHeight="1" x14ac:dyDescent="0.2">
      <c r="A149" s="795">
        <v>2078</v>
      </c>
      <c r="B149" s="794">
        <v>3872.57</v>
      </c>
      <c r="C149" s="794">
        <v>71389.820000000007</v>
      </c>
      <c r="D149" s="790">
        <f t="shared" si="0"/>
        <v>-67517.25</v>
      </c>
      <c r="E149" s="791">
        <f t="shared" si="1"/>
        <v>1221800.3200000057</v>
      </c>
      <c r="F149" s="414"/>
    </row>
    <row r="150" spans="1:6" ht="12" customHeight="1" x14ac:dyDescent="0.2">
      <c r="A150" s="796">
        <v>2079</v>
      </c>
      <c r="B150" s="794">
        <v>3154.28</v>
      </c>
      <c r="C150" s="794">
        <v>60417.760000000002</v>
      </c>
      <c r="D150" s="790">
        <f t="shared" si="0"/>
        <v>-57263.48</v>
      </c>
      <c r="E150" s="791">
        <f t="shared" si="1"/>
        <v>1164536.8400000057</v>
      </c>
      <c r="F150" s="414"/>
    </row>
    <row r="151" spans="1:6" ht="12" customHeight="1" x14ac:dyDescent="0.2">
      <c r="A151" s="795">
        <v>2080</v>
      </c>
      <c r="B151" s="794">
        <v>2549.89</v>
      </c>
      <c r="C151" s="794">
        <v>50823.98</v>
      </c>
      <c r="D151" s="790">
        <f t="shared" si="0"/>
        <v>-48274.090000000004</v>
      </c>
      <c r="E151" s="791">
        <f t="shared" si="1"/>
        <v>1116262.7500000056</v>
      </c>
      <c r="F151" s="414"/>
    </row>
    <row r="152" spans="1:6" ht="12" customHeight="1" x14ac:dyDescent="0.2">
      <c r="A152" s="795">
        <v>2081</v>
      </c>
      <c r="B152" s="794">
        <v>2045.68</v>
      </c>
      <c r="C152" s="794">
        <v>42495.9</v>
      </c>
      <c r="D152" s="790">
        <f t="shared" si="0"/>
        <v>-40450.22</v>
      </c>
      <c r="E152" s="791">
        <f t="shared" si="1"/>
        <v>1075812.5300000056</v>
      </c>
      <c r="F152" s="414"/>
    </row>
    <row r="153" spans="1:6" ht="12" customHeight="1" x14ac:dyDescent="0.2">
      <c r="A153" s="795">
        <v>2082</v>
      </c>
      <c r="B153" s="794">
        <v>1631.08</v>
      </c>
      <c r="C153" s="794">
        <v>35327.19</v>
      </c>
      <c r="D153" s="790">
        <f t="shared" si="0"/>
        <v>-33696.11</v>
      </c>
      <c r="E153" s="791">
        <f t="shared" si="1"/>
        <v>1042116.4200000056</v>
      </c>
      <c r="F153" s="414"/>
    </row>
    <row r="154" spans="1:6" ht="12" customHeight="1" x14ac:dyDescent="0.2">
      <c r="A154" s="795">
        <v>2083</v>
      </c>
      <c r="B154" s="794">
        <v>1291.5</v>
      </c>
      <c r="C154" s="794">
        <v>29184.3</v>
      </c>
      <c r="D154" s="790">
        <f t="shared" si="0"/>
        <v>-27892.799999999999</v>
      </c>
      <c r="E154" s="791">
        <f t="shared" si="1"/>
        <v>1014223.6200000056</v>
      </c>
      <c r="F154" s="414"/>
    </row>
    <row r="155" spans="1:6" ht="12" customHeight="1" x14ac:dyDescent="0.2">
      <c r="A155" s="796">
        <v>2084</v>
      </c>
      <c r="B155" s="794">
        <v>1013.15</v>
      </c>
      <c r="C155" s="794">
        <v>23910.98</v>
      </c>
      <c r="D155" s="790">
        <f t="shared" si="0"/>
        <v>-22897.829999999998</v>
      </c>
      <c r="E155" s="791">
        <f t="shared" si="1"/>
        <v>991325.79000000563</v>
      </c>
      <c r="F155" s="414"/>
    </row>
    <row r="156" spans="1:6" ht="12" customHeight="1" x14ac:dyDescent="0.2">
      <c r="A156" s="795">
        <v>2085</v>
      </c>
      <c r="B156" s="794">
        <v>785.73</v>
      </c>
      <c r="C156" s="794">
        <v>19389.05</v>
      </c>
      <c r="D156" s="790">
        <f t="shared" si="0"/>
        <v>-18603.32</v>
      </c>
      <c r="E156" s="791">
        <f t="shared" si="1"/>
        <v>972722.47000000568</v>
      </c>
      <c r="F156" s="414"/>
    </row>
    <row r="157" spans="1:6" ht="12" customHeight="1" x14ac:dyDescent="0.2">
      <c r="A157" s="795">
        <v>2086</v>
      </c>
      <c r="B157" s="794">
        <v>600.9</v>
      </c>
      <c r="C157" s="794">
        <v>15533.31</v>
      </c>
      <c r="D157" s="790">
        <f t="shared" si="0"/>
        <v>-14932.41</v>
      </c>
      <c r="E157" s="791">
        <f t="shared" si="1"/>
        <v>957790.06000000564</v>
      </c>
      <c r="F157" s="414"/>
    </row>
    <row r="158" spans="1:6" ht="12" customHeight="1" x14ac:dyDescent="0.2">
      <c r="A158" s="795">
        <v>2087</v>
      </c>
      <c r="B158" s="794">
        <v>451.97</v>
      </c>
      <c r="C158" s="794">
        <v>12270.18</v>
      </c>
      <c r="D158" s="790">
        <f t="shared" si="0"/>
        <v>-11818.210000000001</v>
      </c>
      <c r="E158" s="791">
        <f t="shared" si="1"/>
        <v>945971.85000000568</v>
      </c>
      <c r="F158" s="414"/>
    </row>
    <row r="159" spans="1:6" ht="12" customHeight="1" x14ac:dyDescent="0.2">
      <c r="A159" s="795">
        <v>2088</v>
      </c>
      <c r="B159" s="794">
        <v>333.44</v>
      </c>
      <c r="C159" s="794">
        <v>9530.85</v>
      </c>
      <c r="D159" s="790">
        <f t="shared" si="0"/>
        <v>-9197.41</v>
      </c>
      <c r="E159" s="791">
        <f t="shared" si="1"/>
        <v>936774.44000000565</v>
      </c>
      <c r="F159" s="414"/>
    </row>
    <row r="160" spans="1:6" ht="12" customHeight="1" x14ac:dyDescent="0.2">
      <c r="A160" s="795">
        <v>2089</v>
      </c>
      <c r="B160" s="794">
        <v>240.57</v>
      </c>
      <c r="C160" s="794">
        <v>7258.44</v>
      </c>
      <c r="D160" s="790">
        <f t="shared" ref="D160:D169" si="2">B160-C160</f>
        <v>-7017.87</v>
      </c>
      <c r="E160" s="791">
        <f t="shared" si="1"/>
        <v>929756.57000000565</v>
      </c>
      <c r="F160" s="414"/>
    </row>
    <row r="161" spans="1:6" ht="12" customHeight="1" x14ac:dyDescent="0.2">
      <c r="A161" s="795">
        <v>2090</v>
      </c>
      <c r="B161" s="794">
        <v>168.99</v>
      </c>
      <c r="C161" s="794">
        <v>5398.7</v>
      </c>
      <c r="D161" s="790">
        <f t="shared" si="2"/>
        <v>-5229.71</v>
      </c>
      <c r="E161" s="791">
        <f t="shared" ref="E161:E169" si="3">E160+D161</f>
        <v>924526.86000000569</v>
      </c>
      <c r="F161" s="414"/>
    </row>
    <row r="162" spans="1:6" ht="12" customHeight="1" x14ac:dyDescent="0.2">
      <c r="A162" s="795">
        <v>2091</v>
      </c>
      <c r="B162" s="794">
        <v>114.95</v>
      </c>
      <c r="C162" s="794">
        <v>3904.36</v>
      </c>
      <c r="D162" s="790">
        <f t="shared" si="2"/>
        <v>-3789.4100000000003</v>
      </c>
      <c r="E162" s="791">
        <f t="shared" si="3"/>
        <v>920737.45000000566</v>
      </c>
      <c r="F162" s="414"/>
    </row>
    <row r="163" spans="1:6" ht="12" customHeight="1" x14ac:dyDescent="0.2">
      <c r="A163" s="795">
        <v>2092</v>
      </c>
      <c r="B163" s="794">
        <v>75.11</v>
      </c>
      <c r="C163" s="794">
        <v>2732.96</v>
      </c>
      <c r="D163" s="790">
        <f t="shared" si="2"/>
        <v>-2657.85</v>
      </c>
      <c r="E163" s="791">
        <f t="shared" si="3"/>
        <v>918079.60000000568</v>
      </c>
      <c r="F163" s="414"/>
    </row>
    <row r="164" spans="1:6" ht="12" customHeight="1" x14ac:dyDescent="0.2">
      <c r="A164" s="795">
        <v>2093</v>
      </c>
      <c r="B164" s="794">
        <v>46.65</v>
      </c>
      <c r="C164" s="794">
        <v>1843.98</v>
      </c>
      <c r="D164" s="790">
        <f t="shared" si="2"/>
        <v>-1797.33</v>
      </c>
      <c r="E164" s="791">
        <f t="shared" si="3"/>
        <v>916282.27000000572</v>
      </c>
      <c r="F164" s="414"/>
    </row>
    <row r="165" spans="1:6" ht="12" customHeight="1" x14ac:dyDescent="0.2">
      <c r="A165" s="795">
        <v>2094</v>
      </c>
      <c r="B165" s="794">
        <v>27.3</v>
      </c>
      <c r="C165" s="794">
        <v>1194.68</v>
      </c>
      <c r="D165" s="790">
        <f t="shared" si="2"/>
        <v>-1167.3800000000001</v>
      </c>
      <c r="E165" s="791">
        <f t="shared" si="3"/>
        <v>915114.89000000572</v>
      </c>
      <c r="F165" s="414"/>
    </row>
    <row r="166" spans="1:6" ht="12" customHeight="1" x14ac:dyDescent="0.2">
      <c r="A166" s="795">
        <v>2095</v>
      </c>
      <c r="B166" s="794">
        <v>14.89</v>
      </c>
      <c r="C166" s="794">
        <v>741.16</v>
      </c>
      <c r="D166" s="790">
        <f t="shared" si="2"/>
        <v>-726.27</v>
      </c>
      <c r="E166" s="791">
        <f t="shared" si="3"/>
        <v>914388.6200000057</v>
      </c>
      <c r="F166" s="414"/>
    </row>
    <row r="167" spans="1:6" ht="12" customHeight="1" x14ac:dyDescent="0.2">
      <c r="A167" s="795">
        <v>2096</v>
      </c>
      <c r="B167" s="794">
        <v>7.43</v>
      </c>
      <c r="C167" s="794">
        <v>441.51</v>
      </c>
      <c r="D167" s="790">
        <f t="shared" si="2"/>
        <v>-434.08</v>
      </c>
      <c r="E167" s="791">
        <f t="shared" si="3"/>
        <v>913954.54000000574</v>
      </c>
      <c r="F167" s="414"/>
    </row>
    <row r="168" spans="1:6" ht="12" customHeight="1" x14ac:dyDescent="0.2">
      <c r="A168" s="795">
        <v>2097</v>
      </c>
      <c r="B168" s="794">
        <v>3.37</v>
      </c>
      <c r="C168" s="794">
        <v>255.22</v>
      </c>
      <c r="D168" s="790">
        <f t="shared" si="2"/>
        <v>-251.85</v>
      </c>
      <c r="E168" s="791">
        <f t="shared" si="3"/>
        <v>913702.69000000576</v>
      </c>
      <c r="F168" s="414"/>
    </row>
    <row r="169" spans="1:6" ht="12" customHeight="1" x14ac:dyDescent="0.2">
      <c r="A169" s="795">
        <v>2098</v>
      </c>
      <c r="B169" s="794">
        <v>1.49</v>
      </c>
      <c r="C169" s="794">
        <v>144.52000000000001</v>
      </c>
      <c r="D169" s="790">
        <f t="shared" si="2"/>
        <v>-143.03</v>
      </c>
      <c r="E169" s="791">
        <f t="shared" si="3"/>
        <v>913559.66000000574</v>
      </c>
      <c r="F169" s="414"/>
    </row>
    <row r="170" spans="1:6" ht="9.75" customHeight="1" x14ac:dyDescent="0.2">
      <c r="A170" s="414"/>
      <c r="B170" s="414"/>
      <c r="C170" s="414"/>
      <c r="D170" s="414"/>
      <c r="E170" s="414"/>
      <c r="F170" s="414"/>
    </row>
    <row r="171" spans="1:6" ht="9.75" customHeight="1" x14ac:dyDescent="0.2">
      <c r="A171" s="414"/>
      <c r="B171" s="414"/>
      <c r="C171" s="414"/>
      <c r="D171" s="414"/>
      <c r="E171" s="414"/>
      <c r="F171" s="414"/>
    </row>
    <row r="172" spans="1:6" ht="9.75" customHeight="1" x14ac:dyDescent="0.2">
      <c r="A172" s="414"/>
      <c r="B172" s="414"/>
      <c r="C172" s="414"/>
      <c r="D172" s="414"/>
      <c r="E172" s="414"/>
      <c r="F172" s="414"/>
    </row>
    <row r="173" spans="1:6" ht="9.75" customHeight="1" x14ac:dyDescent="0.2">
      <c r="A173" s="414"/>
      <c r="B173" s="414"/>
      <c r="C173" s="414"/>
      <c r="D173" s="414"/>
      <c r="E173" s="414"/>
      <c r="F173" s="414"/>
    </row>
    <row r="174" spans="1:6" ht="9.75" customHeight="1" x14ac:dyDescent="0.2">
      <c r="A174" s="414"/>
      <c r="B174" s="414"/>
      <c r="C174" s="414"/>
      <c r="D174" s="414"/>
      <c r="E174" s="414"/>
      <c r="F174" s="414"/>
    </row>
    <row r="175" spans="1:6" ht="9.75" customHeight="1" x14ac:dyDescent="0.2">
      <c r="A175" s="414"/>
      <c r="B175" s="414"/>
      <c r="C175" s="414"/>
      <c r="D175" s="414"/>
      <c r="E175" s="414"/>
      <c r="F175" s="414"/>
    </row>
    <row r="176" spans="1:6" ht="11.25" customHeight="1" x14ac:dyDescent="0.2">
      <c r="A176" s="637" t="s">
        <v>628</v>
      </c>
      <c r="B176" s="637"/>
      <c r="C176" s="637"/>
      <c r="D176" s="637"/>
      <c r="E176" s="637"/>
      <c r="F176" s="637"/>
    </row>
    <row r="177" spans="1:11" ht="11.25" customHeight="1" x14ac:dyDescent="0.2">
      <c r="A177" s="88" t="s">
        <v>545</v>
      </c>
    </row>
    <row r="178" spans="1:11" ht="25.5" customHeight="1" x14ac:dyDescent="0.2">
      <c r="A178" s="631" t="s">
        <v>546</v>
      </c>
      <c r="B178" s="631"/>
      <c r="C178" s="631"/>
      <c r="D178" s="631"/>
      <c r="E178" s="631"/>
      <c r="F178" s="631"/>
      <c r="G178" s="134"/>
      <c r="H178" s="134"/>
      <c r="I178" s="134"/>
      <c r="J178" s="134"/>
      <c r="K178" s="134"/>
    </row>
    <row r="179" spans="1:11" ht="31.5" customHeight="1" x14ac:dyDescent="0.2">
      <c r="A179" s="631" t="s">
        <v>547</v>
      </c>
      <c r="B179" s="631"/>
      <c r="C179" s="631"/>
      <c r="D179" s="631"/>
      <c r="E179" s="631"/>
      <c r="F179" s="631"/>
      <c r="G179" s="135"/>
      <c r="H179" s="135"/>
      <c r="I179" s="135"/>
      <c r="J179" s="135"/>
      <c r="K179" s="135"/>
    </row>
  </sheetData>
  <mergeCells count="151">
    <mergeCell ref="E68:F68"/>
    <mergeCell ref="E69:F69"/>
    <mergeCell ref="E70:F70"/>
    <mergeCell ref="E71:F71"/>
    <mergeCell ref="B74:C74"/>
    <mergeCell ref="B75:C75"/>
    <mergeCell ref="B65:C65"/>
    <mergeCell ref="B62:C62"/>
    <mergeCell ref="E62:F62"/>
    <mergeCell ref="E65:F65"/>
    <mergeCell ref="E49:F49"/>
    <mergeCell ref="B43:C43"/>
    <mergeCell ref="E43:F43"/>
    <mergeCell ref="E51:F51"/>
    <mergeCell ref="E52:F52"/>
    <mergeCell ref="E53:F53"/>
    <mergeCell ref="E54:F54"/>
    <mergeCell ref="E55:F55"/>
    <mergeCell ref="E56:F56"/>
    <mergeCell ref="B52:C52"/>
    <mergeCell ref="B53:C53"/>
    <mergeCell ref="B54:C54"/>
    <mergeCell ref="B55:C55"/>
    <mergeCell ref="B56:C56"/>
    <mergeCell ref="E26:F26"/>
    <mergeCell ref="E27:F27"/>
    <mergeCell ref="E28:F28"/>
    <mergeCell ref="E35:F35"/>
    <mergeCell ref="E36:F36"/>
    <mergeCell ref="B51:C51"/>
    <mergeCell ref="E37:F37"/>
    <mergeCell ref="E38:F38"/>
    <mergeCell ref="E39:F39"/>
    <mergeCell ref="E40:F40"/>
    <mergeCell ref="E41:F41"/>
    <mergeCell ref="E42:F42"/>
    <mergeCell ref="B41:C41"/>
    <mergeCell ref="E50:F50"/>
    <mergeCell ref="B46:C46"/>
    <mergeCell ref="B47:C47"/>
    <mergeCell ref="B48:C48"/>
    <mergeCell ref="B49:C49"/>
    <mergeCell ref="B50:C50"/>
    <mergeCell ref="B39:C39"/>
    <mergeCell ref="B40:C40"/>
    <mergeCell ref="E46:F46"/>
    <mergeCell ref="E47:F47"/>
    <mergeCell ref="E48:F48"/>
    <mergeCell ref="B30:C30"/>
    <mergeCell ref="B31:C31"/>
    <mergeCell ref="B32:C32"/>
    <mergeCell ref="B27:C27"/>
    <mergeCell ref="B28:C28"/>
    <mergeCell ref="E17:F17"/>
    <mergeCell ref="E18:F18"/>
    <mergeCell ref="B35:C35"/>
    <mergeCell ref="B36:C36"/>
    <mergeCell ref="E19:F19"/>
    <mergeCell ref="E20:F20"/>
    <mergeCell ref="E21:F21"/>
    <mergeCell ref="E22:F22"/>
    <mergeCell ref="B19:C19"/>
    <mergeCell ref="B20:C20"/>
    <mergeCell ref="E29:F29"/>
    <mergeCell ref="E30:F30"/>
    <mergeCell ref="E31:F31"/>
    <mergeCell ref="E32:F32"/>
    <mergeCell ref="E33:F33"/>
    <mergeCell ref="E34:F34"/>
    <mergeCell ref="E23:F23"/>
    <mergeCell ref="E24:F24"/>
    <mergeCell ref="E25:F25"/>
    <mergeCell ref="A179:F179"/>
    <mergeCell ref="A176:F176"/>
    <mergeCell ref="A178:F178"/>
    <mergeCell ref="A90:F90"/>
    <mergeCell ref="A91:F91"/>
    <mergeCell ref="A92:F92"/>
    <mergeCell ref="A93:A94"/>
    <mergeCell ref="E93:F93"/>
    <mergeCell ref="E94:F94"/>
    <mergeCell ref="B83:C83"/>
    <mergeCell ref="E83:F83"/>
    <mergeCell ref="B86:C86"/>
    <mergeCell ref="E86:F86"/>
    <mergeCell ref="B88:C88"/>
    <mergeCell ref="E88:F88"/>
    <mergeCell ref="B79:C79"/>
    <mergeCell ref="E79:F79"/>
    <mergeCell ref="B81:C81"/>
    <mergeCell ref="E81:F81"/>
    <mergeCell ref="E67:F67"/>
    <mergeCell ref="E73:F73"/>
    <mergeCell ref="E74:F74"/>
    <mergeCell ref="E75:F75"/>
    <mergeCell ref="E76:F76"/>
    <mergeCell ref="B68:C68"/>
    <mergeCell ref="B69:C69"/>
    <mergeCell ref="B70:C70"/>
    <mergeCell ref="B71:C71"/>
    <mergeCell ref="B73:C73"/>
    <mergeCell ref="B67:C67"/>
    <mergeCell ref="B76:C76"/>
    <mergeCell ref="E45:F45"/>
    <mergeCell ref="B10:C10"/>
    <mergeCell ref="B45:C45"/>
    <mergeCell ref="B59:C59"/>
    <mergeCell ref="B21:C21"/>
    <mergeCell ref="B22:C22"/>
    <mergeCell ref="B33:C33"/>
    <mergeCell ref="B34:C34"/>
    <mergeCell ref="B23:C23"/>
    <mergeCell ref="B24:C24"/>
    <mergeCell ref="B25:C25"/>
    <mergeCell ref="B26:C26"/>
    <mergeCell ref="B13:C13"/>
    <mergeCell ref="B14:C14"/>
    <mergeCell ref="B15:C15"/>
    <mergeCell ref="E11:F11"/>
    <mergeCell ref="E12:F12"/>
    <mergeCell ref="E13:F13"/>
    <mergeCell ref="E14:F14"/>
    <mergeCell ref="E15:F15"/>
    <mergeCell ref="E16:F16"/>
    <mergeCell ref="B37:C37"/>
    <mergeCell ref="B38:C38"/>
    <mergeCell ref="B29:C29"/>
    <mergeCell ref="A1:D1"/>
    <mergeCell ref="A2:D2"/>
    <mergeCell ref="A3:D3"/>
    <mergeCell ref="A4:D4"/>
    <mergeCell ref="A5:D5"/>
    <mergeCell ref="A7:D7"/>
    <mergeCell ref="B11:C11"/>
    <mergeCell ref="B12:C12"/>
    <mergeCell ref="B57:C57"/>
    <mergeCell ref="B16:C16"/>
    <mergeCell ref="B17:C17"/>
    <mergeCell ref="B18:C18"/>
    <mergeCell ref="B42:C42"/>
    <mergeCell ref="E59:F59"/>
    <mergeCell ref="B61:C61"/>
    <mergeCell ref="E61:F61"/>
    <mergeCell ref="B64:C64"/>
    <mergeCell ref="E64:F64"/>
    <mergeCell ref="E7:F7"/>
    <mergeCell ref="A8:F8"/>
    <mergeCell ref="A9:F9"/>
    <mergeCell ref="E10:F10"/>
    <mergeCell ref="E80:F80"/>
    <mergeCell ref="E84:F84"/>
  </mergeCells>
  <phoneticPr fontId="21" type="noConversion"/>
  <pageMargins left="0.78740157499999996" right="0.78740157499999996" top="0.984251969" bottom="0.984251969" header="0.49212598499999999" footer="0.49212598499999999"/>
  <pageSetup paperSize="9"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A5649-BFF2-4F53-A7F0-F285ED39B4D9}">
  <sheetPr codeName="Plan17"/>
  <dimension ref="A1:G24"/>
  <sheetViews>
    <sheetView topLeftCell="A4" zoomScale="90" zoomScaleNormal="90" workbookViewId="0">
      <selection activeCell="A20" sqref="A20:G20"/>
    </sheetView>
  </sheetViews>
  <sheetFormatPr defaultRowHeight="12.75" x14ac:dyDescent="0.2"/>
  <cols>
    <col min="1" max="1" width="20.85546875" style="88" customWidth="1"/>
    <col min="2" max="2" width="14.85546875" style="88" customWidth="1"/>
    <col min="3" max="3" width="14" style="88" customWidth="1"/>
    <col min="4" max="6" width="12.85546875" style="88" customWidth="1"/>
    <col min="7" max="7" width="16.140625" style="88" customWidth="1"/>
    <col min="8" max="16384" width="9.140625" style="88"/>
  </cols>
  <sheetData>
    <row r="1" spans="1:7" x14ac:dyDescent="0.2">
      <c r="A1" s="538" t="str">
        <f>Parâmetros!A7</f>
        <v>Município de :   NOVA PÁDUA</v>
      </c>
      <c r="B1" s="539"/>
      <c r="C1" s="539"/>
      <c r="D1" s="539"/>
      <c r="E1" s="539"/>
      <c r="F1" s="540"/>
    </row>
    <row r="2" spans="1:7" x14ac:dyDescent="0.2">
      <c r="A2" s="541" t="s">
        <v>368</v>
      </c>
      <c r="B2" s="539"/>
      <c r="C2" s="539"/>
      <c r="D2" s="539"/>
      <c r="E2" s="539"/>
      <c r="F2" s="540"/>
    </row>
    <row r="3" spans="1:7" x14ac:dyDescent="0.2">
      <c r="A3" s="541" t="s">
        <v>369</v>
      </c>
      <c r="B3" s="539"/>
      <c r="C3" s="539"/>
      <c r="D3" s="539"/>
      <c r="E3" s="539"/>
      <c r="F3" s="540"/>
    </row>
    <row r="4" spans="1:7" x14ac:dyDescent="0.2">
      <c r="A4" s="542" t="s">
        <v>548</v>
      </c>
      <c r="B4" s="543"/>
      <c r="C4" s="543"/>
      <c r="D4" s="543"/>
      <c r="E4" s="543"/>
      <c r="F4" s="544"/>
    </row>
    <row r="5" spans="1:7" x14ac:dyDescent="0.2">
      <c r="A5" s="542" t="s">
        <v>462</v>
      </c>
      <c r="B5" s="539"/>
      <c r="C5" s="539"/>
      <c r="D5" s="539"/>
      <c r="E5" s="539"/>
      <c r="F5" s="540"/>
    </row>
    <row r="6" spans="1:7" x14ac:dyDescent="0.2">
      <c r="A6" s="541"/>
      <c r="B6" s="539"/>
      <c r="C6" s="539"/>
      <c r="D6" s="539"/>
      <c r="E6" s="539"/>
      <c r="F6" s="540"/>
    </row>
    <row r="7" spans="1:7" ht="11.25" customHeight="1" x14ac:dyDescent="0.2">
      <c r="A7" s="263" t="s">
        <v>549</v>
      </c>
      <c r="B7" s="264"/>
      <c r="C7" s="264"/>
      <c r="D7" s="264"/>
      <c r="E7" s="264"/>
      <c r="F7" s="265"/>
      <c r="G7" s="266">
        <v>1</v>
      </c>
    </row>
    <row r="8" spans="1:7" s="267" customFormat="1" ht="11.25" customHeight="1" x14ac:dyDescent="0.2">
      <c r="A8" s="648" t="s">
        <v>550</v>
      </c>
      <c r="B8" s="651" t="s">
        <v>551</v>
      </c>
      <c r="C8" s="654" t="s">
        <v>552</v>
      </c>
      <c r="D8" s="651" t="s">
        <v>553</v>
      </c>
      <c r="E8" s="657"/>
      <c r="F8" s="648"/>
      <c r="G8" s="654" t="s">
        <v>554</v>
      </c>
    </row>
    <row r="9" spans="1:7" s="267" customFormat="1" ht="11.25" customHeight="1" x14ac:dyDescent="0.2">
      <c r="A9" s="649"/>
      <c r="B9" s="652"/>
      <c r="C9" s="655"/>
      <c r="D9" s="653"/>
      <c r="E9" s="658"/>
      <c r="F9" s="650"/>
      <c r="G9" s="655"/>
    </row>
    <row r="10" spans="1:7" ht="24" customHeight="1" x14ac:dyDescent="0.2">
      <c r="A10" s="650"/>
      <c r="B10" s="653"/>
      <c r="C10" s="656"/>
      <c r="D10" s="317">
        <f>Parâmetros!E10</f>
        <v>2025</v>
      </c>
      <c r="E10" s="268">
        <f>D10+1</f>
        <v>2026</v>
      </c>
      <c r="F10" s="268">
        <f>E10+1</f>
        <v>2027</v>
      </c>
      <c r="G10" s="656"/>
    </row>
    <row r="11" spans="1:7" ht="67.5" customHeight="1" x14ac:dyDescent="0.2">
      <c r="A11" s="269" t="s">
        <v>621</v>
      </c>
      <c r="B11" s="269" t="s">
        <v>623</v>
      </c>
      <c r="C11" s="269" t="s">
        <v>555</v>
      </c>
      <c r="D11" s="401">
        <v>51900</v>
      </c>
      <c r="E11" s="318">
        <f>D11*(1+B22)</f>
        <v>53976</v>
      </c>
      <c r="F11" s="318">
        <f>E11*(1+B23)</f>
        <v>56135.040000000001</v>
      </c>
      <c r="G11" s="659" t="s">
        <v>556</v>
      </c>
    </row>
    <row r="12" spans="1:7" ht="39.75" customHeight="1" x14ac:dyDescent="0.2">
      <c r="A12" s="269" t="s">
        <v>622</v>
      </c>
      <c r="B12" s="269" t="s">
        <v>623</v>
      </c>
      <c r="C12" s="269" t="s">
        <v>555</v>
      </c>
      <c r="D12" s="401">
        <v>4671</v>
      </c>
      <c r="E12" s="318">
        <f>D12*(1+B22)</f>
        <v>4857.84</v>
      </c>
      <c r="F12" s="318">
        <f>E12*(1+B23)</f>
        <v>5052.1536000000006</v>
      </c>
      <c r="G12" s="660"/>
    </row>
    <row r="13" spans="1:7" ht="45.75" customHeight="1" x14ac:dyDescent="0.2">
      <c r="A13" s="269"/>
      <c r="B13" s="269"/>
      <c r="C13" s="269"/>
      <c r="D13" s="401"/>
      <c r="E13" s="318">
        <f>D13*(1+B22)</f>
        <v>0</v>
      </c>
      <c r="F13" s="318">
        <f>E13*(1+B23)</f>
        <v>0</v>
      </c>
      <c r="G13" s="416" t="s">
        <v>557</v>
      </c>
    </row>
    <row r="14" spans="1:7" ht="11.25" customHeight="1" x14ac:dyDescent="0.2">
      <c r="A14" s="269"/>
      <c r="B14" s="269"/>
      <c r="C14" s="269"/>
      <c r="D14" s="401"/>
      <c r="E14" s="318">
        <f>D14*(1+B22)</f>
        <v>0</v>
      </c>
      <c r="F14" s="318">
        <f>E14*(1+B23)</f>
        <v>0</v>
      </c>
      <c r="G14" s="416"/>
    </row>
    <row r="15" spans="1:7" ht="11.25" customHeight="1" x14ac:dyDescent="0.2">
      <c r="A15" s="269"/>
      <c r="B15" s="269"/>
      <c r="C15" s="269"/>
      <c r="D15" s="401"/>
      <c r="E15" s="318">
        <f>D15*(1+B22)</f>
        <v>0</v>
      </c>
      <c r="F15" s="318">
        <f>E15*(1+B23)</f>
        <v>0</v>
      </c>
      <c r="G15" s="416"/>
    </row>
    <row r="16" spans="1:7" ht="11.25" customHeight="1" x14ac:dyDescent="0.2">
      <c r="A16" s="269"/>
      <c r="B16" s="269"/>
      <c r="C16" s="269"/>
      <c r="D16" s="401"/>
      <c r="E16" s="318">
        <f>D16*(1+B22)</f>
        <v>0</v>
      </c>
      <c r="F16" s="318">
        <f>E16*(1+B23)</f>
        <v>0</v>
      </c>
      <c r="G16" s="416"/>
    </row>
    <row r="17" spans="1:7" ht="11.25" customHeight="1" x14ac:dyDescent="0.2">
      <c r="A17" s="270"/>
      <c r="B17" s="270"/>
      <c r="C17" s="270"/>
      <c r="D17" s="402"/>
      <c r="E17" s="318">
        <f>D17*(1+B22)</f>
        <v>0</v>
      </c>
      <c r="F17" s="318">
        <f>E17*(1+B23)</f>
        <v>0</v>
      </c>
      <c r="G17" s="271"/>
    </row>
    <row r="18" spans="1:7" ht="11.25" customHeight="1" x14ac:dyDescent="0.2">
      <c r="A18" s="501" t="s">
        <v>456</v>
      </c>
      <c r="B18" s="501"/>
      <c r="C18" s="502"/>
      <c r="D18" s="320">
        <f>SUM(D11:D17)</f>
        <v>56571</v>
      </c>
      <c r="E18" s="319">
        <f>SUM(E11:E17)</f>
        <v>58833.84</v>
      </c>
      <c r="F18" s="319">
        <f>SUM(F11:F17)</f>
        <v>61187.193599999999</v>
      </c>
      <c r="G18" s="420" t="s">
        <v>558</v>
      </c>
    </row>
    <row r="19" spans="1:7" ht="27.75" customHeight="1" x14ac:dyDescent="0.2">
      <c r="A19" s="647" t="s">
        <v>629</v>
      </c>
      <c r="B19" s="647"/>
      <c r="C19" s="647"/>
      <c r="D19" s="647"/>
      <c r="E19" s="647"/>
      <c r="F19" s="647"/>
      <c r="G19" s="647"/>
    </row>
    <row r="20" spans="1:7" ht="24" customHeight="1" x14ac:dyDescent="0.2">
      <c r="A20" s="647" t="s">
        <v>559</v>
      </c>
      <c r="B20" s="647"/>
      <c r="C20" s="647"/>
      <c r="D20" s="647"/>
      <c r="E20" s="647"/>
      <c r="F20" s="647"/>
      <c r="G20" s="647"/>
    </row>
    <row r="21" spans="1:7" ht="24" customHeight="1" x14ac:dyDescent="0.2">
      <c r="A21" s="647" t="s">
        <v>560</v>
      </c>
      <c r="B21" s="647"/>
      <c r="C21" s="647"/>
      <c r="D21" s="647"/>
      <c r="E21" s="647"/>
      <c r="F21" s="647"/>
      <c r="G21" s="647"/>
    </row>
    <row r="22" spans="1:7" x14ac:dyDescent="0.2">
      <c r="A22" s="272" t="s">
        <v>561</v>
      </c>
      <c r="B22" s="273">
        <f>Parâmetros!F11</f>
        <v>0.04</v>
      </c>
    </row>
    <row r="23" spans="1:7" x14ac:dyDescent="0.2">
      <c r="A23" s="272" t="s">
        <v>562</v>
      </c>
      <c r="B23" s="273">
        <f>Parâmetros!G11</f>
        <v>0.04</v>
      </c>
    </row>
    <row r="24" spans="1:7" x14ac:dyDescent="0.2">
      <c r="B24" s="274"/>
    </row>
  </sheetData>
  <mergeCells count="16">
    <mergeCell ref="A21:G21"/>
    <mergeCell ref="A18:C18"/>
    <mergeCell ref="A5:F5"/>
    <mergeCell ref="A6:F6"/>
    <mergeCell ref="A8:A10"/>
    <mergeCell ref="B8:B10"/>
    <mergeCell ref="C8:C10"/>
    <mergeCell ref="D8:F9"/>
    <mergeCell ref="G8:G10"/>
    <mergeCell ref="G11:G12"/>
    <mergeCell ref="A1:F1"/>
    <mergeCell ref="A2:F2"/>
    <mergeCell ref="A3:F3"/>
    <mergeCell ref="A4:F4"/>
    <mergeCell ref="A20:G20"/>
    <mergeCell ref="A19:G19"/>
  </mergeCells>
  <phoneticPr fontId="21" type="noConversion"/>
  <pageMargins left="0.78740157499999996" right="0.78740157499999996" top="0.984251969" bottom="0.984251969" header="0.49212598499999999" footer="0.49212598499999999"/>
  <pageSetup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E365F-27C5-46CF-941E-9658C5C4DD6E}">
  <sheetPr codeName="Plan18"/>
  <dimension ref="A1:B31"/>
  <sheetViews>
    <sheetView zoomScale="90" zoomScaleNormal="100" workbookViewId="0">
      <selection activeCell="A4" sqref="A4:B4"/>
    </sheetView>
  </sheetViews>
  <sheetFormatPr defaultRowHeight="12.75" x14ac:dyDescent="0.2"/>
  <cols>
    <col min="1" max="1" width="55.5703125" style="88" customWidth="1"/>
    <col min="2" max="2" width="20.85546875" style="88" customWidth="1"/>
    <col min="3" max="16384" width="9.140625" style="88"/>
  </cols>
  <sheetData>
    <row r="1" spans="1:2" x14ac:dyDescent="0.2">
      <c r="A1" s="538" t="str">
        <f>Parâmetros!A7</f>
        <v>Município de :   NOVA PÁDUA</v>
      </c>
      <c r="B1" s="540"/>
    </row>
    <row r="2" spans="1:2" x14ac:dyDescent="0.2">
      <c r="A2" s="541" t="s">
        <v>368</v>
      </c>
      <c r="B2" s="540"/>
    </row>
    <row r="3" spans="1:2" x14ac:dyDescent="0.2">
      <c r="A3" s="541" t="s">
        <v>369</v>
      </c>
      <c r="B3" s="540"/>
    </row>
    <row r="4" spans="1:2" x14ac:dyDescent="0.2">
      <c r="A4" s="542" t="s">
        <v>563</v>
      </c>
      <c r="B4" s="544"/>
    </row>
    <row r="5" spans="1:2" x14ac:dyDescent="0.2">
      <c r="A5" s="541" t="s">
        <v>462</v>
      </c>
      <c r="B5" s="540"/>
    </row>
    <row r="6" spans="1:2" x14ac:dyDescent="0.2">
      <c r="A6" s="541"/>
      <c r="B6" s="540"/>
    </row>
    <row r="7" spans="1:2" x14ac:dyDescent="0.2">
      <c r="A7" s="275" t="s">
        <v>564</v>
      </c>
      <c r="B7" s="276">
        <v>1</v>
      </c>
    </row>
    <row r="8" spans="1:2" s="267" customFormat="1" ht="25.5" customHeight="1" x14ac:dyDescent="0.2">
      <c r="A8" s="418" t="s">
        <v>565</v>
      </c>
      <c r="B8" s="406" t="s">
        <v>566</v>
      </c>
    </row>
    <row r="9" spans="1:2" x14ac:dyDescent="0.2">
      <c r="A9" s="277" t="s">
        <v>567</v>
      </c>
      <c r="B9" s="321">
        <f>(B10+B11)</f>
        <v>-1482529.1980467555</v>
      </c>
    </row>
    <row r="10" spans="1:2" x14ac:dyDescent="0.2">
      <c r="A10" s="278" t="s">
        <v>568</v>
      </c>
      <c r="B10" s="322">
        <f>(Projeções!H9/(1+Parâmetros!E11))-(Projeções!G9*(1+Parâmetros!D11))</f>
        <v>34779.556342180353</v>
      </c>
    </row>
    <row r="11" spans="1:2" x14ac:dyDescent="0.2">
      <c r="A11" s="278" t="s">
        <v>569</v>
      </c>
      <c r="B11" s="322">
        <f>(Projeções!H37/(1+Parâmetros!E11))-(Projeções!G37*(1+Parâmetros!D11))</f>
        <v>-1517308.7543889359</v>
      </c>
    </row>
    <row r="12" spans="1:2" x14ac:dyDescent="0.2">
      <c r="A12" s="278" t="s">
        <v>570</v>
      </c>
      <c r="B12" s="322">
        <v>0</v>
      </c>
    </row>
    <row r="13" spans="1:2" x14ac:dyDescent="0.2">
      <c r="A13" s="111" t="s">
        <v>571</v>
      </c>
      <c r="B13" s="322">
        <f>(Projeções!H103/(1+Parâmetros!E11)-(Projeções!G103*(1+Parâmetros!D11)))</f>
        <v>587950.42948056012</v>
      </c>
    </row>
    <row r="14" spans="1:2" x14ac:dyDescent="0.2">
      <c r="A14" s="279" t="s">
        <v>572</v>
      </c>
      <c r="B14" s="323">
        <f>B9+B13</f>
        <v>-894578.76856619539</v>
      </c>
    </row>
    <row r="15" spans="1:2" x14ac:dyDescent="0.2">
      <c r="A15" s="111" t="s">
        <v>573</v>
      </c>
      <c r="B15" s="324">
        <v>0</v>
      </c>
    </row>
    <row r="16" spans="1:2" x14ac:dyDescent="0.2">
      <c r="A16" s="111" t="s">
        <v>574</v>
      </c>
      <c r="B16" s="323">
        <f>B14+B15</f>
        <v>-894578.76856619539</v>
      </c>
    </row>
    <row r="17" spans="1:2" x14ac:dyDescent="0.2">
      <c r="A17" s="278" t="s">
        <v>575</v>
      </c>
      <c r="B17" s="322"/>
    </row>
    <row r="18" spans="1:2" x14ac:dyDescent="0.2">
      <c r="A18" s="279" t="s">
        <v>576</v>
      </c>
      <c r="B18" s="323">
        <f>B19+B20</f>
        <v>-597887.78450895846</v>
      </c>
    </row>
    <row r="19" spans="1:2" x14ac:dyDescent="0.2">
      <c r="A19" s="111" t="s">
        <v>577</v>
      </c>
      <c r="B19" s="322">
        <f>Projeções!H116/(1+Parâmetros!E11)-(Projeções!G116*(1+Parâmetros!D11))</f>
        <v>-465671.78231537901</v>
      </c>
    </row>
    <row r="20" spans="1:2" x14ac:dyDescent="0.2">
      <c r="A20" s="111" t="s">
        <v>578</v>
      </c>
      <c r="B20" s="322">
        <f>Projeções!H126/(1+Parâmetros!E11)-Projeções!G126*(1+Parâmetros!D11)</f>
        <v>-132216.00219357945</v>
      </c>
    </row>
    <row r="21" spans="1:2" x14ac:dyDescent="0.2">
      <c r="A21" s="279" t="s">
        <v>579</v>
      </c>
      <c r="B21" s="322">
        <v>0</v>
      </c>
    </row>
    <row r="22" spans="1:2" ht="21" customHeight="1" x14ac:dyDescent="0.2">
      <c r="A22" s="279" t="s">
        <v>580</v>
      </c>
      <c r="B22" s="325" t="str">
        <f>IF(B16-B17-B18&lt;0,"SEM MARGEM",B16-B17-B18)</f>
        <v>SEM MARGEM</v>
      </c>
    </row>
    <row r="23" spans="1:2" x14ac:dyDescent="0.2">
      <c r="A23" s="661" t="s">
        <v>367</v>
      </c>
      <c r="B23" s="662"/>
    </row>
    <row r="24" spans="1:2" x14ac:dyDescent="0.2">
      <c r="A24" s="170"/>
    </row>
    <row r="25" spans="1:2" x14ac:dyDescent="0.2">
      <c r="A25" s="89"/>
      <c r="B25" s="89"/>
    </row>
    <row r="26" spans="1:2" x14ac:dyDescent="0.2">
      <c r="A26" s="89"/>
    </row>
    <row r="27" spans="1:2" x14ac:dyDescent="0.2">
      <c r="A27" s="89"/>
    </row>
    <row r="28" spans="1:2" x14ac:dyDescent="0.2">
      <c r="A28" s="89"/>
    </row>
    <row r="29" spans="1:2" x14ac:dyDescent="0.2">
      <c r="A29" s="89"/>
    </row>
    <row r="30" spans="1:2" x14ac:dyDescent="0.2">
      <c r="A30" s="89"/>
    </row>
    <row r="31" spans="1:2" x14ac:dyDescent="0.2">
      <c r="A31" s="89"/>
    </row>
  </sheetData>
  <mergeCells count="7">
    <mergeCell ref="A1:B1"/>
    <mergeCell ref="A2:B2"/>
    <mergeCell ref="A23:B23"/>
    <mergeCell ref="A3:B3"/>
    <mergeCell ref="A4:B4"/>
    <mergeCell ref="A5:B5"/>
    <mergeCell ref="A6:B6"/>
  </mergeCells>
  <phoneticPr fontId="21" type="noConversion"/>
  <pageMargins left="0.78740157499999996" right="0.78740157499999996" top="0.984251969" bottom="0.984251969" header="0.49212598499999999" footer="0.49212598499999999"/>
  <pageSetup paperSize="9"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B782C-1B27-4C3B-A422-023F6F1E58BB}">
  <dimension ref="A1:D25"/>
  <sheetViews>
    <sheetView topLeftCell="A10" workbookViewId="0">
      <selection activeCell="D21" sqref="D21"/>
    </sheetView>
  </sheetViews>
  <sheetFormatPr defaultRowHeight="12.75" x14ac:dyDescent="0.2"/>
  <cols>
    <col min="1" max="1" width="38.85546875" style="88" customWidth="1"/>
    <col min="2" max="2" width="15.7109375" style="88" customWidth="1"/>
    <col min="3" max="3" width="36.85546875" style="88" customWidth="1"/>
    <col min="4" max="4" width="15.7109375" style="88" customWidth="1"/>
    <col min="5" max="5" width="9.140625" style="88" customWidth="1"/>
    <col min="6" max="16384" width="9.140625" style="88"/>
  </cols>
  <sheetData>
    <row r="1" spans="1:4" x14ac:dyDescent="0.2">
      <c r="A1" s="666" t="str">
        <f>Parâmetros!A7</f>
        <v>Município de :   NOVA PÁDUA</v>
      </c>
      <c r="B1" s="664"/>
      <c r="C1" s="664"/>
      <c r="D1" s="664"/>
    </row>
    <row r="2" spans="1:4" x14ac:dyDescent="0.2">
      <c r="A2" s="664" t="s">
        <v>368</v>
      </c>
      <c r="B2" s="664"/>
      <c r="C2" s="664"/>
      <c r="D2" s="664"/>
    </row>
    <row r="3" spans="1:4" x14ac:dyDescent="0.2">
      <c r="A3" s="664" t="s">
        <v>581</v>
      </c>
      <c r="B3" s="664"/>
      <c r="C3" s="664"/>
      <c r="D3" s="664"/>
    </row>
    <row r="4" spans="1:4" x14ac:dyDescent="0.2">
      <c r="A4" s="663" t="s">
        <v>582</v>
      </c>
      <c r="B4" s="663"/>
      <c r="C4" s="663"/>
      <c r="D4" s="663"/>
    </row>
    <row r="5" spans="1:4" x14ac:dyDescent="0.2">
      <c r="A5" s="663" t="s">
        <v>462</v>
      </c>
      <c r="B5" s="664"/>
      <c r="C5" s="664"/>
      <c r="D5" s="664"/>
    </row>
    <row r="6" spans="1:4" x14ac:dyDescent="0.2">
      <c r="A6" s="665"/>
      <c r="B6" s="665"/>
      <c r="C6" s="665"/>
      <c r="D6" s="665"/>
    </row>
    <row r="7" spans="1:4" x14ac:dyDescent="0.2">
      <c r="A7" s="665" t="s">
        <v>583</v>
      </c>
      <c r="B7" s="665"/>
      <c r="C7" s="667">
        <v>1</v>
      </c>
      <c r="D7" s="667"/>
    </row>
    <row r="8" spans="1:4" x14ac:dyDescent="0.2">
      <c r="A8" s="669" t="s">
        <v>584</v>
      </c>
      <c r="B8" s="669"/>
      <c r="C8" s="669" t="s">
        <v>585</v>
      </c>
      <c r="D8" s="669"/>
    </row>
    <row r="9" spans="1:4" x14ac:dyDescent="0.2">
      <c r="A9" s="419" t="s">
        <v>216</v>
      </c>
      <c r="B9" s="419" t="s">
        <v>372</v>
      </c>
      <c r="C9" s="419" t="s">
        <v>216</v>
      </c>
      <c r="D9" s="419" t="s">
        <v>372</v>
      </c>
    </row>
    <row r="10" spans="1:4" ht="51" x14ac:dyDescent="0.2">
      <c r="A10" s="417" t="s">
        <v>586</v>
      </c>
      <c r="B10" s="280">
        <v>70000</v>
      </c>
      <c r="C10" s="281" t="s">
        <v>587</v>
      </c>
      <c r="D10" s="280">
        <v>70000</v>
      </c>
    </row>
    <row r="11" spans="1:4" x14ac:dyDescent="0.2">
      <c r="A11" s="417" t="s">
        <v>588</v>
      </c>
      <c r="B11" s="280"/>
      <c r="C11" s="281"/>
      <c r="D11" s="280"/>
    </row>
    <row r="12" spans="1:4" x14ac:dyDescent="0.2">
      <c r="A12" s="417" t="s">
        <v>589</v>
      </c>
      <c r="B12" s="280"/>
      <c r="C12" s="281"/>
      <c r="D12" s="280"/>
    </row>
    <row r="13" spans="1:4" x14ac:dyDescent="0.2">
      <c r="A13" s="417" t="s">
        <v>590</v>
      </c>
      <c r="B13" s="280"/>
      <c r="C13" s="281"/>
      <c r="D13" s="280"/>
    </row>
    <row r="14" spans="1:4" ht="25.5" x14ac:dyDescent="0.2">
      <c r="A14" s="417" t="s">
        <v>591</v>
      </c>
      <c r="B14" s="280">
        <v>50000</v>
      </c>
      <c r="C14" s="281" t="s">
        <v>619</v>
      </c>
      <c r="D14" s="280">
        <v>50000</v>
      </c>
    </row>
    <row r="15" spans="1:4" ht="25.5" x14ac:dyDescent="0.2">
      <c r="A15" s="417" t="s">
        <v>592</v>
      </c>
      <c r="B15" s="280">
        <v>30000</v>
      </c>
      <c r="C15" s="281" t="s">
        <v>619</v>
      </c>
      <c r="D15" s="280">
        <v>30000</v>
      </c>
    </row>
    <row r="16" spans="1:4" x14ac:dyDescent="0.2">
      <c r="A16" s="282" t="s">
        <v>593</v>
      </c>
      <c r="B16" s="283">
        <f>SUM(B10:B15)</f>
        <v>150000</v>
      </c>
      <c r="C16" s="284" t="s">
        <v>593</v>
      </c>
      <c r="D16" s="285">
        <f>SUM(D10:D15)</f>
        <v>150000</v>
      </c>
    </row>
    <row r="17" spans="1:4" x14ac:dyDescent="0.2">
      <c r="A17" s="670"/>
      <c r="B17" s="670"/>
      <c r="C17" s="671"/>
      <c r="D17" s="672"/>
    </row>
    <row r="18" spans="1:4" x14ac:dyDescent="0.2">
      <c r="A18" s="668" t="s">
        <v>594</v>
      </c>
      <c r="B18" s="668"/>
      <c r="C18" s="669" t="s">
        <v>585</v>
      </c>
      <c r="D18" s="669"/>
    </row>
    <row r="19" spans="1:4" x14ac:dyDescent="0.2">
      <c r="A19" s="419" t="s">
        <v>216</v>
      </c>
      <c r="B19" s="419" t="s">
        <v>372</v>
      </c>
      <c r="C19" s="419" t="s">
        <v>216</v>
      </c>
      <c r="D19" s="419" t="s">
        <v>372</v>
      </c>
    </row>
    <row r="20" spans="1:4" x14ac:dyDescent="0.2">
      <c r="A20" s="417" t="s">
        <v>595</v>
      </c>
      <c r="B20" s="280">
        <v>30000</v>
      </c>
      <c r="C20" s="281" t="s">
        <v>620</v>
      </c>
      <c r="D20" s="280">
        <v>30000</v>
      </c>
    </row>
    <row r="21" spans="1:4" x14ac:dyDescent="0.2">
      <c r="A21" s="417" t="s">
        <v>596</v>
      </c>
      <c r="B21" s="280"/>
      <c r="C21" s="281"/>
      <c r="D21" s="280"/>
    </row>
    <row r="22" spans="1:4" x14ac:dyDescent="0.2">
      <c r="A22" s="417" t="s">
        <v>597</v>
      </c>
      <c r="B22" s="280"/>
      <c r="C22" s="281"/>
      <c r="D22" s="280"/>
    </row>
    <row r="23" spans="1:4" x14ac:dyDescent="0.2">
      <c r="A23" s="417" t="s">
        <v>598</v>
      </c>
      <c r="B23" s="280"/>
      <c r="C23" s="281"/>
      <c r="D23" s="280"/>
    </row>
    <row r="24" spans="1:4" x14ac:dyDescent="0.2">
      <c r="A24" s="417" t="s">
        <v>593</v>
      </c>
      <c r="B24" s="280"/>
      <c r="C24" s="417" t="s">
        <v>593</v>
      </c>
      <c r="D24" s="280">
        <f>SUM(D20:D23)</f>
        <v>30000</v>
      </c>
    </row>
    <row r="25" spans="1:4" x14ac:dyDescent="0.2">
      <c r="A25" s="284" t="s">
        <v>456</v>
      </c>
      <c r="B25" s="285">
        <f>B16+B24</f>
        <v>150000</v>
      </c>
      <c r="C25" s="284" t="s">
        <v>456</v>
      </c>
      <c r="D25" s="285">
        <f>D16+D24</f>
        <v>180000</v>
      </c>
    </row>
  </sheetData>
  <mergeCells count="14">
    <mergeCell ref="A7:B7"/>
    <mergeCell ref="C7:D7"/>
    <mergeCell ref="A18:B18"/>
    <mergeCell ref="C18:D18"/>
    <mergeCell ref="A8:B8"/>
    <mergeCell ref="C8:D8"/>
    <mergeCell ref="A17:B17"/>
    <mergeCell ref="C17:D17"/>
    <mergeCell ref="A5:D5"/>
    <mergeCell ref="A6:D6"/>
    <mergeCell ref="A1:D1"/>
    <mergeCell ref="A2:D2"/>
    <mergeCell ref="A3:D3"/>
    <mergeCell ref="A4:D4"/>
  </mergeCells>
  <phoneticPr fontId="21" type="noConversion"/>
  <pageMargins left="0.78740157499999996" right="0.78740157499999996" top="0.984251969" bottom="0.984251969" header="0.49212598499999999" footer="0.49212598499999999"/>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AB9B7-B55F-4FBC-BD2B-C79154D14315}">
  <dimension ref="A1:N20"/>
  <sheetViews>
    <sheetView tabSelected="1" workbookViewId="0">
      <selection activeCell="A12" sqref="A12:B12"/>
    </sheetView>
  </sheetViews>
  <sheetFormatPr defaultRowHeight="12.75" x14ac:dyDescent="0.2"/>
  <cols>
    <col min="1" max="1" width="19.7109375" style="88" customWidth="1"/>
    <col min="2" max="2" width="19.140625" style="88" customWidth="1"/>
    <col min="3" max="3" width="12.28515625" style="88" customWidth="1"/>
    <col min="4" max="4" width="17.28515625" style="88" customWidth="1"/>
    <col min="5" max="5" width="11.28515625" style="88" customWidth="1"/>
    <col min="6" max="6" width="12.42578125" style="88" customWidth="1"/>
    <col min="7" max="7" width="11.85546875" style="88" customWidth="1"/>
    <col min="8" max="8" width="16" style="88" customWidth="1"/>
    <col min="9" max="9" width="12.42578125" style="88" customWidth="1"/>
    <col min="10" max="10" width="4.140625" style="88" customWidth="1"/>
    <col min="11" max="11" width="3.7109375" style="88" hidden="1" customWidth="1"/>
    <col min="12" max="12" width="19" style="88" customWidth="1"/>
    <col min="13" max="16384" width="9.140625" style="88"/>
  </cols>
  <sheetData>
    <row r="1" spans="1:12" x14ac:dyDescent="0.2">
      <c r="A1" s="686" t="str">
        <f>Parâmetros!A7</f>
        <v>Município de :   NOVA PÁDUA</v>
      </c>
      <c r="B1" s="687"/>
      <c r="C1" s="687"/>
      <c r="D1" s="687"/>
      <c r="E1" s="687"/>
      <c r="F1" s="687"/>
      <c r="G1" s="687"/>
      <c r="H1" s="687"/>
      <c r="I1" s="687"/>
      <c r="J1" s="687"/>
      <c r="K1" s="687"/>
      <c r="L1" s="688"/>
    </row>
    <row r="2" spans="1:12" ht="13.5" thickBot="1" x14ac:dyDescent="0.25">
      <c r="A2" s="689"/>
      <c r="B2" s="690"/>
      <c r="C2" s="690"/>
      <c r="D2" s="690"/>
      <c r="E2" s="690"/>
      <c r="F2" s="690"/>
      <c r="G2" s="690"/>
      <c r="H2" s="690"/>
      <c r="I2" s="690"/>
      <c r="J2" s="690"/>
      <c r="K2" s="690"/>
      <c r="L2" s="691"/>
    </row>
    <row r="3" spans="1:12" x14ac:dyDescent="0.2">
      <c r="A3" s="692" t="s">
        <v>599</v>
      </c>
      <c r="B3" s="693"/>
      <c r="C3" s="693"/>
      <c r="D3" s="693"/>
      <c r="E3" s="693"/>
      <c r="F3" s="693"/>
      <c r="G3" s="693"/>
      <c r="H3" s="693"/>
      <c r="I3" s="693"/>
      <c r="J3" s="693"/>
      <c r="K3" s="693"/>
      <c r="L3" s="694"/>
    </row>
    <row r="4" spans="1:12" x14ac:dyDescent="0.2">
      <c r="A4" s="695" t="s">
        <v>600</v>
      </c>
      <c r="B4" s="663"/>
      <c r="C4" s="663"/>
      <c r="D4" s="663"/>
      <c r="E4" s="663"/>
      <c r="F4" s="663"/>
      <c r="G4" s="663"/>
      <c r="H4" s="663"/>
      <c r="I4" s="663"/>
      <c r="J4" s="663"/>
      <c r="K4" s="663"/>
      <c r="L4" s="696"/>
    </row>
    <row r="5" spans="1:12" ht="13.5" thickBot="1" x14ac:dyDescent="0.25">
      <c r="A5" s="697" t="s">
        <v>601</v>
      </c>
      <c r="B5" s="698"/>
      <c r="C5" s="698"/>
      <c r="D5" s="698"/>
      <c r="E5" s="698"/>
      <c r="F5" s="698"/>
      <c r="G5" s="698"/>
      <c r="H5" s="698"/>
      <c r="I5" s="698"/>
      <c r="J5" s="698"/>
      <c r="K5" s="698"/>
      <c r="L5" s="699"/>
    </row>
    <row r="6" spans="1:12" ht="13.5" thickBot="1" x14ac:dyDescent="0.25">
      <c r="A6" s="706" t="s">
        <v>602</v>
      </c>
      <c r="B6" s="707"/>
      <c r="C6" s="707"/>
      <c r="D6" s="707"/>
      <c r="E6" s="707"/>
      <c r="F6" s="707"/>
      <c r="G6" s="707"/>
      <c r="H6" s="707"/>
      <c r="I6" s="707"/>
      <c r="J6" s="707"/>
      <c r="K6" s="707"/>
      <c r="L6" s="708"/>
    </row>
    <row r="7" spans="1:12" ht="13.5" thickBot="1" x14ac:dyDescent="0.25">
      <c r="A7" s="673"/>
      <c r="B7" s="674"/>
      <c r="C7" s="299"/>
      <c r="D7" s="299"/>
      <c r="E7" s="681" t="s">
        <v>603</v>
      </c>
      <c r="F7" s="682"/>
      <c r="G7" s="683"/>
      <c r="H7" s="681" t="s">
        <v>604</v>
      </c>
      <c r="I7" s="682"/>
      <c r="J7" s="682"/>
      <c r="K7" s="682"/>
      <c r="L7" s="683"/>
    </row>
    <row r="8" spans="1:12" x14ac:dyDescent="0.2">
      <c r="A8" s="712" t="s">
        <v>605</v>
      </c>
      <c r="B8" s="714"/>
      <c r="C8" s="703" t="s">
        <v>606</v>
      </c>
      <c r="D8" s="703" t="s">
        <v>607</v>
      </c>
      <c r="E8" s="703" t="s">
        <v>608</v>
      </c>
      <c r="F8" s="703" t="s">
        <v>609</v>
      </c>
      <c r="G8" s="703" t="s">
        <v>610</v>
      </c>
      <c r="H8" s="703" t="s">
        <v>611</v>
      </c>
      <c r="I8" s="712" t="s">
        <v>612</v>
      </c>
      <c r="J8" s="713"/>
      <c r="K8" s="714"/>
      <c r="L8" s="703" t="s">
        <v>613</v>
      </c>
    </row>
    <row r="9" spans="1:12" ht="29.25" customHeight="1" thickBot="1" x14ac:dyDescent="0.25">
      <c r="A9" s="718"/>
      <c r="B9" s="719"/>
      <c r="C9" s="705"/>
      <c r="D9" s="705"/>
      <c r="E9" s="705"/>
      <c r="F9" s="705"/>
      <c r="G9" s="705"/>
      <c r="H9" s="704"/>
      <c r="I9" s="715"/>
      <c r="J9" s="716"/>
      <c r="K9" s="717"/>
      <c r="L9" s="704"/>
    </row>
    <row r="10" spans="1:12" ht="13.5" thickBot="1" x14ac:dyDescent="0.25">
      <c r="A10" s="684" t="s">
        <v>617</v>
      </c>
      <c r="B10" s="685"/>
      <c r="C10" s="286"/>
      <c r="D10" s="287"/>
      <c r="E10" s="288"/>
      <c r="F10" s="288"/>
      <c r="G10" s="289"/>
      <c r="H10" s="290"/>
      <c r="I10" s="709"/>
      <c r="J10" s="710"/>
      <c r="K10" s="711"/>
      <c r="L10" s="290"/>
    </row>
    <row r="11" spans="1:12" ht="13.5" thickBot="1" x14ac:dyDescent="0.25">
      <c r="A11" s="684" t="s">
        <v>618</v>
      </c>
      <c r="B11" s="685"/>
      <c r="C11" s="291"/>
      <c r="D11" s="292"/>
      <c r="E11" s="288"/>
      <c r="F11" s="288"/>
      <c r="G11" s="289"/>
      <c r="H11" s="293"/>
      <c r="I11" s="700"/>
      <c r="J11" s="701"/>
      <c r="K11" s="702"/>
      <c r="L11" s="293"/>
    </row>
    <row r="12" spans="1:12" ht="13.5" thickBot="1" x14ac:dyDescent="0.25">
      <c r="A12" s="684"/>
      <c r="B12" s="685"/>
      <c r="C12" s="291"/>
      <c r="D12" s="292"/>
      <c r="E12" s="288"/>
      <c r="F12" s="288"/>
      <c r="G12" s="289"/>
      <c r="H12" s="293"/>
      <c r="I12" s="700"/>
      <c r="J12" s="701"/>
      <c r="K12" s="702"/>
      <c r="L12" s="293"/>
    </row>
    <row r="13" spans="1:12" ht="13.5" thickBot="1" x14ac:dyDescent="0.25">
      <c r="A13" s="673"/>
      <c r="B13" s="674"/>
      <c r="C13" s="294"/>
      <c r="D13" s="295"/>
      <c r="E13" s="296"/>
      <c r="F13" s="296"/>
      <c r="G13" s="297"/>
      <c r="H13" s="298"/>
      <c r="I13" s="675"/>
      <c r="J13" s="676"/>
      <c r="K13" s="677"/>
      <c r="L13" s="298"/>
    </row>
    <row r="14" spans="1:12" ht="13.5" thickBot="1" x14ac:dyDescent="0.25">
      <c r="A14" s="673"/>
      <c r="B14" s="674"/>
      <c r="C14" s="299"/>
      <c r="D14" s="295"/>
      <c r="E14" s="296"/>
      <c r="F14" s="296"/>
      <c r="G14" s="297"/>
      <c r="H14" s="298"/>
      <c r="I14" s="675"/>
      <c r="J14" s="676"/>
      <c r="K14" s="677"/>
      <c r="L14" s="298"/>
    </row>
    <row r="15" spans="1:12" ht="13.5" thickBot="1" x14ac:dyDescent="0.25">
      <c r="A15" s="673"/>
      <c r="B15" s="674"/>
      <c r="C15" s="299"/>
      <c r="D15" s="295"/>
      <c r="E15" s="296"/>
      <c r="F15" s="296"/>
      <c r="G15" s="297"/>
      <c r="H15" s="298"/>
      <c r="I15" s="675"/>
      <c r="J15" s="676"/>
      <c r="K15" s="677"/>
      <c r="L15" s="298"/>
    </row>
    <row r="16" spans="1:12" ht="13.5" thickBot="1" x14ac:dyDescent="0.25">
      <c r="A16" s="673"/>
      <c r="B16" s="674"/>
      <c r="C16" s="299"/>
      <c r="D16" s="295"/>
      <c r="E16" s="296"/>
      <c r="F16" s="296"/>
      <c r="G16" s="297"/>
      <c r="H16" s="298"/>
      <c r="I16" s="675"/>
      <c r="J16" s="676"/>
      <c r="K16" s="677"/>
      <c r="L16" s="298"/>
    </row>
    <row r="17" spans="1:14" ht="13.5" thickBot="1" x14ac:dyDescent="0.25">
      <c r="A17" s="679" t="s">
        <v>614</v>
      </c>
      <c r="B17" s="680"/>
      <c r="C17" s="680"/>
      <c r="D17" s="680"/>
      <c r="E17" s="680"/>
      <c r="F17" s="680"/>
      <c r="G17" s="680"/>
      <c r="H17" s="421">
        <f>SUM(H10:H16)</f>
        <v>0</v>
      </c>
      <c r="I17" s="678">
        <v>0</v>
      </c>
      <c r="J17" s="678"/>
      <c r="K17" s="678"/>
      <c r="L17" s="421">
        <f>SUM(L10:L16)</f>
        <v>0</v>
      </c>
    </row>
    <row r="20" spans="1:14" x14ac:dyDescent="0.2">
      <c r="N20" s="410"/>
    </row>
  </sheetData>
  <mergeCells count="33">
    <mergeCell ref="A12:B12"/>
    <mergeCell ref="I12:K12"/>
    <mergeCell ref="A13:B13"/>
    <mergeCell ref="I13:K13"/>
    <mergeCell ref="C8:C9"/>
    <mergeCell ref="F8:F9"/>
    <mergeCell ref="G8:G9"/>
    <mergeCell ref="I8:K9"/>
    <mergeCell ref="A8:B9"/>
    <mergeCell ref="A7:B7"/>
    <mergeCell ref="E7:G7"/>
    <mergeCell ref="A11:B11"/>
    <mergeCell ref="A1:L2"/>
    <mergeCell ref="A3:L3"/>
    <mergeCell ref="A4:L4"/>
    <mergeCell ref="A5:L5"/>
    <mergeCell ref="I11:K11"/>
    <mergeCell ref="L8:L9"/>
    <mergeCell ref="H7:L7"/>
    <mergeCell ref="D8:D9"/>
    <mergeCell ref="H8:H9"/>
    <mergeCell ref="A6:L6"/>
    <mergeCell ref="A10:B10"/>
    <mergeCell ref="I10:K10"/>
    <mergeCell ref="E8:E9"/>
    <mergeCell ref="A16:B16"/>
    <mergeCell ref="I16:K16"/>
    <mergeCell ref="I17:K17"/>
    <mergeCell ref="A17:G17"/>
    <mergeCell ref="A14:B14"/>
    <mergeCell ref="I14:K14"/>
    <mergeCell ref="A15:B15"/>
    <mergeCell ref="I15:K15"/>
  </mergeCells>
  <phoneticPr fontId="21" type="noConversion"/>
  <pageMargins left="0.78740157499999996" right="0.78740157499999996" top="0.984251969" bottom="0.984251969" header="0.49212598499999999" footer="0.49212598499999999"/>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5BE25-35AF-4149-BFA7-AD7956AE9C26}">
  <sheetPr codeName="Plan3"/>
  <dimension ref="A1:IV306"/>
  <sheetViews>
    <sheetView topLeftCell="A119" zoomScale="75" zoomScaleNormal="75" zoomScaleSheetLayoutView="30" workbookViewId="0">
      <selection activeCell="L95" sqref="L95"/>
    </sheetView>
  </sheetViews>
  <sheetFormatPr defaultColWidth="19.140625" defaultRowHeight="15.75" x14ac:dyDescent="0.25"/>
  <cols>
    <col min="1" max="1" width="27.7109375" style="3" customWidth="1"/>
    <col min="2" max="2" width="17.85546875" style="141" customWidth="1"/>
    <col min="3" max="3" width="74.7109375" style="3" customWidth="1"/>
    <col min="4" max="7" width="20.7109375" style="3" customWidth="1"/>
    <col min="8" max="8" width="22.42578125" style="3" customWidth="1"/>
    <col min="9" max="9" width="22.85546875" style="3" customWidth="1"/>
    <col min="10" max="10" width="23" style="3" customWidth="1"/>
    <col min="11" max="11" width="19.140625" style="3"/>
    <col min="12" max="12" width="19.7109375" style="3" bestFit="1" customWidth="1"/>
    <col min="13" max="16384" width="19.140625" style="3"/>
  </cols>
  <sheetData>
    <row r="1" spans="1:178" s="1" customFormat="1" ht="17.649999999999999" customHeight="1" x14ac:dyDescent="0.25">
      <c r="A1" s="463" t="str">
        <f>Parâmetros!A7</f>
        <v>Município de :   NOVA PÁDUA</v>
      </c>
      <c r="B1" s="463"/>
      <c r="C1" s="464"/>
      <c r="D1" s="464"/>
      <c r="E1" s="464"/>
      <c r="F1" s="464"/>
      <c r="G1" s="464"/>
      <c r="H1" s="464"/>
      <c r="I1" s="464"/>
      <c r="J1" s="464"/>
    </row>
    <row r="2" spans="1:178" s="1" customFormat="1" ht="30" customHeight="1" x14ac:dyDescent="0.25">
      <c r="A2" s="465" t="str">
        <f>Parâmetros!A8</f>
        <v>LEI DE DIRETRIZES ORÇAMENTÁRIAS  PARA 2025</v>
      </c>
      <c r="B2" s="465"/>
      <c r="C2" s="464"/>
      <c r="D2" s="464"/>
      <c r="E2" s="464"/>
      <c r="F2" s="464"/>
      <c r="G2" s="464"/>
      <c r="H2" s="464"/>
      <c r="I2" s="464"/>
      <c r="J2" s="464"/>
    </row>
    <row r="3" spans="1:178" s="1" customFormat="1" ht="19.5" customHeight="1" x14ac:dyDescent="0.25">
      <c r="A3" s="466" t="s">
        <v>15</v>
      </c>
      <c r="B3" s="466"/>
      <c r="C3" s="464"/>
      <c r="D3" s="464"/>
      <c r="E3" s="464"/>
      <c r="F3" s="464"/>
      <c r="G3" s="464"/>
      <c r="H3" s="464"/>
      <c r="I3" s="464"/>
      <c r="J3" s="464"/>
    </row>
    <row r="4" spans="1:178" s="1" customFormat="1" hidden="1" x14ac:dyDescent="0.25">
      <c r="A4" s="12"/>
      <c r="B4" s="142"/>
      <c r="C4" s="13"/>
      <c r="D4" s="13"/>
      <c r="E4" s="13"/>
      <c r="F4" s="13"/>
      <c r="G4" s="13"/>
      <c r="H4" s="13"/>
      <c r="I4" s="13"/>
      <c r="J4" s="13"/>
    </row>
    <row r="5" spans="1:178" s="1" customFormat="1" x14ac:dyDescent="0.25">
      <c r="A5" s="14"/>
      <c r="B5" s="143"/>
      <c r="C5" s="403"/>
      <c r="D5" s="403"/>
      <c r="E5" s="403"/>
      <c r="F5" s="403"/>
      <c r="G5" s="403"/>
      <c r="H5" s="403"/>
      <c r="I5" s="403"/>
      <c r="J5" s="15" t="s">
        <v>16</v>
      </c>
    </row>
    <row r="6" spans="1:178" s="1" customFormat="1" x14ac:dyDescent="0.25">
      <c r="A6" s="469" t="s">
        <v>17</v>
      </c>
      <c r="B6" s="474" t="s">
        <v>18</v>
      </c>
      <c r="C6" s="148" t="s">
        <v>19</v>
      </c>
      <c r="D6" s="44" t="s">
        <v>20</v>
      </c>
      <c r="E6" s="44" t="s">
        <v>20</v>
      </c>
      <c r="F6" s="44" t="s">
        <v>20</v>
      </c>
      <c r="G6" s="45" t="s">
        <v>21</v>
      </c>
      <c r="H6" s="45" t="s">
        <v>22</v>
      </c>
      <c r="I6" s="46" t="s">
        <v>22</v>
      </c>
      <c r="J6" s="47" t="s">
        <v>22</v>
      </c>
    </row>
    <row r="7" spans="1:178" s="1" customFormat="1" ht="27.75" customHeight="1" x14ac:dyDescent="0.25">
      <c r="A7" s="470"/>
      <c r="B7" s="475"/>
      <c r="C7" s="147" t="s">
        <v>23</v>
      </c>
      <c r="D7" s="48">
        <f>Parâmetros!B10-1</f>
        <v>2021</v>
      </c>
      <c r="E7" s="49">
        <f t="shared" ref="E7:J7" si="0">D7+1</f>
        <v>2022</v>
      </c>
      <c r="F7" s="49">
        <f t="shared" si="0"/>
        <v>2023</v>
      </c>
      <c r="G7" s="49">
        <f t="shared" si="0"/>
        <v>2024</v>
      </c>
      <c r="H7" s="49">
        <f t="shared" si="0"/>
        <v>2025</v>
      </c>
      <c r="I7" s="49">
        <f t="shared" si="0"/>
        <v>2026</v>
      </c>
      <c r="J7" s="49">
        <f t="shared" si="0"/>
        <v>2027</v>
      </c>
    </row>
    <row r="8" spans="1:178" s="31" customFormat="1" ht="17.45" customHeight="1" x14ac:dyDescent="0.35">
      <c r="A8" s="50" t="s">
        <v>24</v>
      </c>
      <c r="B8" s="157">
        <v>10000000</v>
      </c>
      <c r="C8" s="51" t="s">
        <v>25</v>
      </c>
      <c r="D8" s="52">
        <f t="shared" ref="D8:J8" si="1">D9+D15+D22+D32+D33+D34+D37+D65</f>
        <v>18575917.329999998</v>
      </c>
      <c r="E8" s="52">
        <f t="shared" si="1"/>
        <v>22567191.650000002</v>
      </c>
      <c r="F8" s="52">
        <f t="shared" si="1"/>
        <v>29025621.02</v>
      </c>
      <c r="G8" s="52">
        <f t="shared" si="1"/>
        <v>31359828.669166666</v>
      </c>
      <c r="H8" s="52">
        <f t="shared" si="1"/>
        <v>32321166.701127496</v>
      </c>
      <c r="I8" s="52">
        <f t="shared" si="1"/>
        <v>37164916.994536221</v>
      </c>
      <c r="J8" s="52">
        <f t="shared" si="1"/>
        <v>41532442.245302886</v>
      </c>
      <c r="L8" s="448"/>
    </row>
    <row r="9" spans="1:178" s="6" customFormat="1" ht="12.75" x14ac:dyDescent="0.2">
      <c r="A9" s="53" t="s">
        <v>26</v>
      </c>
      <c r="B9" s="158">
        <v>11000000</v>
      </c>
      <c r="C9" s="54" t="s">
        <v>27</v>
      </c>
      <c r="D9" s="55">
        <f t="shared" ref="D9:J9" si="2">D10+D11+D12+D13+D14</f>
        <v>1287075.2999999998</v>
      </c>
      <c r="E9" s="55">
        <f t="shared" si="2"/>
        <v>1308349.51</v>
      </c>
      <c r="F9" s="55">
        <f t="shared" si="2"/>
        <v>2108529.75</v>
      </c>
      <c r="G9" s="55">
        <f t="shared" si="2"/>
        <v>2292879.7778333332</v>
      </c>
      <c r="H9" s="55">
        <f t="shared" si="2"/>
        <v>2530457.0761140808</v>
      </c>
      <c r="I9" s="55">
        <f t="shared" si="2"/>
        <v>3263813.1960515887</v>
      </c>
      <c r="J9" s="55">
        <f t="shared" si="2"/>
        <v>3868693.4193367837</v>
      </c>
      <c r="K9" s="37"/>
      <c r="L9" s="449"/>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37"/>
      <c r="FK9" s="37"/>
      <c r="FL9" s="37"/>
      <c r="FM9" s="37"/>
      <c r="FN9" s="37"/>
      <c r="FO9" s="37"/>
      <c r="FP9" s="37"/>
      <c r="FQ9" s="37"/>
      <c r="FR9" s="37"/>
      <c r="FS9" s="37"/>
      <c r="FT9" s="37"/>
      <c r="FU9" s="37"/>
      <c r="FV9" s="37"/>
    </row>
    <row r="10" spans="1:178" s="6" customFormat="1" ht="12.75" x14ac:dyDescent="0.2">
      <c r="A10" s="56" t="s">
        <v>28</v>
      </c>
      <c r="B10" s="158">
        <v>11130100</v>
      </c>
      <c r="C10" s="57" t="s">
        <v>29</v>
      </c>
      <c r="D10" s="436">
        <v>298424.65999999997</v>
      </c>
      <c r="E10" s="436">
        <f>295146.7+6628.88-318.17</f>
        <v>301457.41000000003</v>
      </c>
      <c r="F10" s="436">
        <v>771309.36</v>
      </c>
      <c r="G10" s="29">
        <f>((431594.12-210.54)/6)*13</f>
        <v>934664.42333333334</v>
      </c>
      <c r="H10" s="58">
        <f>G10*1.05</f>
        <v>981397.64450000005</v>
      </c>
      <c r="I10" s="58">
        <f>H10*(1+Parâmetros!F11)*(1+Parâmetros!F15)</f>
        <v>1265818.1847573218</v>
      </c>
      <c r="J10" s="58">
        <f>I10*(1+Parâmetros!G11)*(1+Parâmetros!G15)</f>
        <v>1500411.3860963997</v>
      </c>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row>
    <row r="11" spans="1:178" s="6" customFormat="1" ht="12.75" x14ac:dyDescent="0.2">
      <c r="A11" s="56" t="s">
        <v>30</v>
      </c>
      <c r="B11" s="158">
        <v>11130100</v>
      </c>
      <c r="C11" s="57" t="s">
        <v>31</v>
      </c>
      <c r="D11" s="436">
        <v>7011.06</v>
      </c>
      <c r="E11" s="436">
        <f>318.17</f>
        <v>318.17</v>
      </c>
      <c r="F11" s="436">
        <v>0</v>
      </c>
      <c r="G11" s="29">
        <f>(210.54/6)*13</f>
        <v>456.16999999999996</v>
      </c>
      <c r="H11" s="58">
        <f>(((E11*(1+Parâmetros!B11)*(1+Parâmetros!C11)*(1+Parâmetros!D11))+(F11*(1+Parâmetros!C11)*(1+Parâmetros!D11)+(G11*(1+Parâmetros!D11))))/3)*(1+Parâmetros!E11)*(1+Parâmetros!E15)</f>
        <v>342.4195674466842</v>
      </c>
      <c r="I11" s="58">
        <f>H11*(1+Parâmetros!F11)*(1+Parâmetros!F15)</f>
        <v>441.65677156437187</v>
      </c>
      <c r="J11" s="58">
        <f>I11*(1+Parâmetros!G11)*(1+Parâmetros!G15)</f>
        <v>523.5087130058921</v>
      </c>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row>
    <row r="12" spans="1:178" s="6" customFormat="1" ht="12.75" x14ac:dyDescent="0.2">
      <c r="A12" s="56" t="s">
        <v>32</v>
      </c>
      <c r="B12" s="158">
        <v>11100000</v>
      </c>
      <c r="C12" s="57" t="s">
        <v>33</v>
      </c>
      <c r="D12" s="436">
        <f>1009457.44-305435.72</f>
        <v>704021.72</v>
      </c>
      <c r="E12" s="436">
        <f>1099588.01-301775.58</f>
        <v>797812.42999999993</v>
      </c>
      <c r="F12" s="436">
        <f>1896072.05-F10</f>
        <v>1124762.69</v>
      </c>
      <c r="G12" s="29">
        <f>F12*1.05</f>
        <v>1181000.8245000001</v>
      </c>
      <c r="H12" s="58">
        <f>(((E12*(1+Parâmetros!B11)*(1+Parâmetros!C11)*(1+Parâmetros!D11))+(F12*(1+Parâmetros!C11)*(1+Parâmetros!D11)+(G12*(1+Parâmetros!D11))))/3)*(1+Parâmetros!E11)*(1+Parâmetros!E15)-95000</f>
        <v>1280947.2382020082</v>
      </c>
      <c r="I12" s="58">
        <f>H12*(1+Parâmetros!F11)*(1+Parâmetros!F15)</f>
        <v>1652180.7617103679</v>
      </c>
      <c r="J12" s="58">
        <f>I12*(1+Parâmetros!G11)*(1+Parâmetros!G15)</f>
        <v>1958378.2699684585</v>
      </c>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c r="EY12" s="37"/>
      <c r="EZ12" s="37"/>
      <c r="FA12" s="37"/>
      <c r="FB12" s="37"/>
      <c r="FC12" s="37"/>
      <c r="FD12" s="37"/>
      <c r="FE12" s="37"/>
      <c r="FF12" s="37"/>
      <c r="FG12" s="37"/>
      <c r="FH12" s="37"/>
      <c r="FI12" s="37"/>
      <c r="FJ12" s="37"/>
      <c r="FK12" s="37"/>
      <c r="FL12" s="37"/>
      <c r="FM12" s="37"/>
      <c r="FN12" s="37"/>
      <c r="FO12" s="37"/>
      <c r="FP12" s="37"/>
      <c r="FQ12" s="37"/>
      <c r="FR12" s="37"/>
      <c r="FS12" s="37"/>
      <c r="FT12" s="37"/>
      <c r="FU12" s="37"/>
      <c r="FV12" s="37"/>
    </row>
    <row r="13" spans="1:178" s="6" customFormat="1" ht="12" customHeight="1" x14ac:dyDescent="0.2">
      <c r="A13" s="56" t="s">
        <v>34</v>
      </c>
      <c r="B13" s="158">
        <v>11200000</v>
      </c>
      <c r="C13" s="57" t="s">
        <v>35</v>
      </c>
      <c r="D13" s="436">
        <v>198459.17</v>
      </c>
      <c r="E13" s="436">
        <v>116199.8</v>
      </c>
      <c r="F13" s="436">
        <v>133614.14000000001</v>
      </c>
      <c r="G13" s="29">
        <f>(76798.48/6)*12</f>
        <v>153596.96</v>
      </c>
      <c r="H13" s="58">
        <f>(((E13*(1+Parâmetros!B11)*(1+Parâmetros!C11)*(1+Parâmetros!D11))+(F13*(1+Parâmetros!C11)*(1+Parâmetros!D11)+(G13*(1+Parâmetros!D11))))/3)*(1+Parâmetros!E11)*(1+Parâmetros!E15)</f>
        <v>179169.27498963525</v>
      </c>
      <c r="I13" s="58">
        <f>H13*(1+Parâmetros!F11)*(1+Parâmetros!F15)</f>
        <v>231094.63090999454</v>
      </c>
      <c r="J13" s="58">
        <f>I13*(1+Parâmetros!G11)*(1+Parâmetros!G15)</f>
        <v>273923.23768012226</v>
      </c>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c r="EI13" s="37"/>
      <c r="EJ13" s="37"/>
      <c r="EK13" s="37"/>
      <c r="EL13" s="37"/>
      <c r="EM13" s="37"/>
      <c r="EN13" s="37"/>
      <c r="EO13" s="37"/>
      <c r="EP13" s="37"/>
      <c r="EQ13" s="37"/>
      <c r="ER13" s="37"/>
      <c r="ES13" s="37"/>
      <c r="ET13" s="37"/>
      <c r="EU13" s="37"/>
      <c r="EV13" s="37"/>
      <c r="EW13" s="37"/>
      <c r="EX13" s="37"/>
      <c r="EY13" s="37"/>
      <c r="EZ13" s="37"/>
      <c r="FA13" s="37"/>
      <c r="FB13" s="37"/>
      <c r="FC13" s="37"/>
      <c r="FD13" s="37"/>
      <c r="FE13" s="37"/>
      <c r="FF13" s="37"/>
      <c r="FG13" s="37"/>
      <c r="FH13" s="37"/>
      <c r="FI13" s="37"/>
      <c r="FJ13" s="37"/>
      <c r="FK13" s="37"/>
      <c r="FL13" s="37"/>
      <c r="FM13" s="37"/>
      <c r="FN13" s="37"/>
      <c r="FO13" s="37"/>
      <c r="FP13" s="37"/>
      <c r="FQ13" s="37"/>
      <c r="FR13" s="37"/>
      <c r="FS13" s="37"/>
      <c r="FT13" s="37"/>
      <c r="FU13" s="37"/>
      <c r="FV13" s="37"/>
    </row>
    <row r="14" spans="1:178" s="6" customFormat="1" ht="12.75" x14ac:dyDescent="0.2">
      <c r="A14" s="56" t="s">
        <v>36</v>
      </c>
      <c r="B14" s="158">
        <v>11310000</v>
      </c>
      <c r="C14" s="57" t="s">
        <v>37</v>
      </c>
      <c r="D14" s="436">
        <v>79158.69</v>
      </c>
      <c r="E14" s="436">
        <v>92561.7</v>
      </c>
      <c r="F14" s="436">
        <v>78843.56</v>
      </c>
      <c r="G14" s="29">
        <f>(11580.7/6)*12</f>
        <v>23161.4</v>
      </c>
      <c r="H14" s="58">
        <f>(((E14*(1+Parâmetros!B11)*(1+Parâmetros!C11)*(1+Parâmetros!D11))+(F14*(1+Parâmetros!C11)*(1+Parâmetros!D11)+(G14*(1+Parâmetros!D11))))/3)*(1+Parâmetros!E11)*(1+Parâmetros!E15)</f>
        <v>88600.498854990379</v>
      </c>
      <c r="I14" s="58">
        <f>H14*(1+Parâmetros!F11)*(1+Parâmetros!F15)</f>
        <v>114277.96190233987</v>
      </c>
      <c r="J14" s="58">
        <f>I14*(1+Parâmetros!G11)*(1+Parâmetros!G15)</f>
        <v>135457.01687879747</v>
      </c>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c r="EJ14" s="37"/>
      <c r="EK14" s="37"/>
      <c r="EL14" s="37"/>
      <c r="EM14" s="37"/>
      <c r="EN14" s="37"/>
      <c r="EO14" s="37"/>
      <c r="EP14" s="37"/>
      <c r="EQ14" s="37"/>
      <c r="ER14" s="37"/>
      <c r="ES14" s="37"/>
      <c r="ET14" s="37"/>
      <c r="EU14" s="37"/>
      <c r="EV14" s="37"/>
      <c r="EW14" s="37"/>
      <c r="EX14" s="37"/>
      <c r="EY14" s="37"/>
      <c r="EZ14" s="37"/>
      <c r="FA14" s="37"/>
      <c r="FB14" s="37"/>
      <c r="FC14" s="37"/>
      <c r="FD14" s="37"/>
      <c r="FE14" s="37"/>
      <c r="FF14" s="37"/>
      <c r="FG14" s="37"/>
      <c r="FH14" s="37"/>
      <c r="FI14" s="37"/>
      <c r="FJ14" s="37"/>
      <c r="FK14" s="37"/>
      <c r="FL14" s="37"/>
      <c r="FM14" s="37"/>
      <c r="FN14" s="37"/>
      <c r="FO14" s="37"/>
      <c r="FP14" s="37"/>
      <c r="FQ14" s="37"/>
      <c r="FR14" s="37"/>
      <c r="FS14" s="37"/>
      <c r="FT14" s="37"/>
      <c r="FU14" s="37"/>
      <c r="FV14" s="37"/>
    </row>
    <row r="15" spans="1:178" customFormat="1" ht="12.75" x14ac:dyDescent="0.2">
      <c r="A15" s="53" t="s">
        <v>38</v>
      </c>
      <c r="B15" s="158">
        <v>12000000</v>
      </c>
      <c r="C15" s="54" t="s">
        <v>39</v>
      </c>
      <c r="D15" s="55">
        <f t="shared" ref="D15:J15" si="3">D16+D20+D21</f>
        <v>0</v>
      </c>
      <c r="E15" s="55">
        <f t="shared" si="3"/>
        <v>0</v>
      </c>
      <c r="F15" s="55">
        <f t="shared" si="3"/>
        <v>0</v>
      </c>
      <c r="G15" s="55">
        <f t="shared" si="3"/>
        <v>0</v>
      </c>
      <c r="H15" s="55">
        <f t="shared" si="3"/>
        <v>0</v>
      </c>
      <c r="I15" s="55">
        <f t="shared" si="3"/>
        <v>0</v>
      </c>
      <c r="J15" s="55">
        <f t="shared" si="3"/>
        <v>0</v>
      </c>
      <c r="L15" s="450"/>
    </row>
    <row r="16" spans="1:178" customFormat="1" ht="12.75" x14ac:dyDescent="0.2">
      <c r="A16" s="53" t="s">
        <v>40</v>
      </c>
      <c r="B16" s="158">
        <v>12100000</v>
      </c>
      <c r="C16" s="54" t="s">
        <v>41</v>
      </c>
      <c r="D16" s="55">
        <f t="shared" ref="D16:J16" si="4">D17+D18+D19</f>
        <v>0</v>
      </c>
      <c r="E16" s="55">
        <f t="shared" si="4"/>
        <v>0</v>
      </c>
      <c r="F16" s="55">
        <f t="shared" si="4"/>
        <v>0</v>
      </c>
      <c r="G16" s="55">
        <f t="shared" si="4"/>
        <v>0</v>
      </c>
      <c r="H16" s="55">
        <f t="shared" si="4"/>
        <v>0</v>
      </c>
      <c r="I16" s="55">
        <f t="shared" si="4"/>
        <v>0</v>
      </c>
      <c r="J16" s="55">
        <f t="shared" si="4"/>
        <v>0</v>
      </c>
    </row>
    <row r="17" spans="1:178" customFormat="1" ht="12.75" x14ac:dyDescent="0.2">
      <c r="A17" s="56" t="s">
        <v>42</v>
      </c>
      <c r="B17" s="158">
        <v>12160300</v>
      </c>
      <c r="C17" s="57" t="s">
        <v>43</v>
      </c>
      <c r="D17" s="29"/>
      <c r="E17" s="29"/>
      <c r="F17" s="29"/>
      <c r="G17" s="29"/>
      <c r="H17" s="58">
        <f>(((E17*(1+Parâmetros!B11)*(1+Parâmetros!C11)*(1+Parâmetros!D11))+(F17*(1+Parâmetros!C11)*(1+Parâmetros!D11)+(G17*(1+Parâmetros!D11))))/3)*(1+Parâmetros!E11)</f>
        <v>0</v>
      </c>
      <c r="I17" s="58">
        <f>H17*(1+Parâmetros!F11)</f>
        <v>0</v>
      </c>
      <c r="J17" s="58">
        <f>I17*(1+Parâmetros!G11)</f>
        <v>0</v>
      </c>
    </row>
    <row r="18" spans="1:178" customFormat="1" ht="12.75" x14ac:dyDescent="0.2">
      <c r="A18" s="56" t="s">
        <v>44</v>
      </c>
      <c r="B18" s="158">
        <v>12190000</v>
      </c>
      <c r="C18" s="57" t="s">
        <v>45</v>
      </c>
      <c r="D18" s="29"/>
      <c r="E18" s="29"/>
      <c r="F18" s="29"/>
      <c r="G18" s="29"/>
      <c r="H18" s="58">
        <f>(((E18*(1+Parâmetros!B11)*(1+Parâmetros!C11)*(1+Parâmetros!D11))+(F18*(1+Parâmetros!C11)*(1+Parâmetros!D11)+(G18*(1+Parâmetros!D11))))/3)*(1+Parâmetros!E11)</f>
        <v>0</v>
      </c>
      <c r="I18" s="58">
        <f>H18*(1+Parâmetros!F11)</f>
        <v>0</v>
      </c>
      <c r="J18" s="58">
        <f>I18*(1+Parâmetros!G11)</f>
        <v>0</v>
      </c>
    </row>
    <row r="19" spans="1:178" customFormat="1" ht="12.75" x14ac:dyDescent="0.2">
      <c r="A19" s="56" t="s">
        <v>46</v>
      </c>
      <c r="B19" s="158">
        <v>12199900</v>
      </c>
      <c r="C19" s="57" t="s">
        <v>47</v>
      </c>
      <c r="D19" s="29"/>
      <c r="E19" s="29"/>
      <c r="F19" s="29"/>
      <c r="G19" s="29"/>
      <c r="H19" s="58">
        <f>(((E19*(1+Parâmetros!B11)*(1+Parâmetros!C11)*(1+Parâmetros!D11))+(F19*(1+Parâmetros!C11)*(1+Parâmetros!D11)+(G19*(1+Parâmetros!D11))))/3)*(1+Parâmetros!E11)</f>
        <v>0</v>
      </c>
      <c r="I19" s="58">
        <f>H19*(1+Parâmetros!F11)</f>
        <v>0</v>
      </c>
      <c r="J19" s="58">
        <f>I19*(1+Parâmetros!G11)</f>
        <v>0</v>
      </c>
    </row>
    <row r="20" spans="1:178" s="6" customFormat="1" ht="12.75" x14ac:dyDescent="0.2">
      <c r="A20" s="56" t="s">
        <v>48</v>
      </c>
      <c r="B20" s="158">
        <v>12210000</v>
      </c>
      <c r="C20" s="57" t="s">
        <v>49</v>
      </c>
      <c r="D20" s="29"/>
      <c r="E20" s="29"/>
      <c r="F20" s="29"/>
      <c r="G20" s="29"/>
      <c r="H20" s="58">
        <f>(((E20*(1+Parâmetros!B11)*(1+Parâmetros!C11)*(1+Parâmetros!D11))+(F20*(1+Parâmetros!C11)*(1+Parâmetros!D11)+(G20*(1+Parâmetros!D11))))/3)*(1+Parâmetros!E11)</f>
        <v>0</v>
      </c>
      <c r="I20" s="58">
        <f>H20*(1+Parâmetros!F11)</f>
        <v>0</v>
      </c>
      <c r="J20" s="58">
        <f>I20*(1+Parâmetros!G11)</f>
        <v>0</v>
      </c>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c r="FV20" s="37"/>
    </row>
    <row r="21" spans="1:178" s="6" customFormat="1" ht="12.75" x14ac:dyDescent="0.2">
      <c r="A21" s="56" t="s">
        <v>50</v>
      </c>
      <c r="B21" s="158">
        <v>12415000</v>
      </c>
      <c r="C21" s="57" t="s">
        <v>51</v>
      </c>
      <c r="D21" s="29"/>
      <c r="E21" s="29"/>
      <c r="F21" s="29"/>
      <c r="G21" s="29"/>
      <c r="H21" s="58">
        <f>(((E21*(1+Parâmetros!B11)*(1+Parâmetros!C11)*(1+Parâmetros!D11))+(F21*(1+Parâmetros!C11)*(1+Parâmetros!D11)+(G21*(1+Parâmetros!D11))))/3)*(1+Parâmetros!E11)*(1+Parâmetros!E12)</f>
        <v>0</v>
      </c>
      <c r="I21" s="58">
        <f>H21*(1+Parâmetros!F11)*(1+Parâmetros!F12)</f>
        <v>0</v>
      </c>
      <c r="J21" s="58">
        <f>I21*(1+Parâmetros!G11)*(1+Parâmetros!G12)</f>
        <v>0</v>
      </c>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row>
    <row r="22" spans="1:178" s="6" customFormat="1" ht="12.75" x14ac:dyDescent="0.2">
      <c r="A22" s="53" t="s">
        <v>52</v>
      </c>
      <c r="B22" s="158">
        <v>13000000</v>
      </c>
      <c r="C22" s="54" t="s">
        <v>53</v>
      </c>
      <c r="D22" s="55">
        <f t="shared" ref="D22:J22" si="5">D23+D24+D29+D30+D31</f>
        <v>33751.23000000004</v>
      </c>
      <c r="E22" s="55">
        <f t="shared" si="5"/>
        <v>101221.93000000001</v>
      </c>
      <c r="F22" s="55">
        <f t="shared" si="5"/>
        <v>551315.14</v>
      </c>
      <c r="G22" s="55">
        <f t="shared" si="5"/>
        <v>664343.6</v>
      </c>
      <c r="H22" s="55">
        <f t="shared" si="5"/>
        <v>502630.17930565728</v>
      </c>
      <c r="I22" s="55">
        <f t="shared" si="5"/>
        <v>532434.54104163463</v>
      </c>
      <c r="J22" s="55">
        <f t="shared" si="5"/>
        <v>564020.78584452707</v>
      </c>
      <c r="K22" s="37"/>
      <c r="L22" s="449"/>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row>
    <row r="23" spans="1:178" s="6" customFormat="1" ht="12.75" x14ac:dyDescent="0.2">
      <c r="A23" s="56" t="s">
        <v>54</v>
      </c>
      <c r="B23" s="158">
        <v>13110000</v>
      </c>
      <c r="C23" s="57" t="s">
        <v>55</v>
      </c>
      <c r="D23" s="436">
        <v>21341.69</v>
      </c>
      <c r="E23" s="436">
        <v>19945.16</v>
      </c>
      <c r="F23" s="436">
        <v>32638.75</v>
      </c>
      <c r="G23" s="29">
        <f>(21660.6/6)*12</f>
        <v>43321.2</v>
      </c>
      <c r="H23" s="58">
        <f>(((E23*(1+Parâmetros!B11)*(1+Parâmetros!C11)*(1+Parâmetros!D11))+(F23*(1+Parâmetros!C11)*(1+Parâmetros!D11)+(G23*(1+Parâmetros!D11))))/3)*(1+Parâmetros!E11)</f>
        <v>36324.671433014875</v>
      </c>
      <c r="I23" s="58">
        <f>H23*(1+Parâmetros!F11)</f>
        <v>37777.658290335472</v>
      </c>
      <c r="J23" s="58">
        <f>I23*(1+Parâmetros!G11)</f>
        <v>39288.764621948889</v>
      </c>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row>
    <row r="24" spans="1:178" s="30" customFormat="1" x14ac:dyDescent="0.25">
      <c r="A24" s="53" t="s">
        <v>56</v>
      </c>
      <c r="B24" s="158">
        <v>13200000</v>
      </c>
      <c r="C24" s="54" t="s">
        <v>57</v>
      </c>
      <c r="D24" s="55">
        <f t="shared" ref="D24:J24" si="6">D25+D26+D27+D28</f>
        <v>12409.540000000037</v>
      </c>
      <c r="E24" s="55">
        <f t="shared" si="6"/>
        <v>81276.77</v>
      </c>
      <c r="F24" s="55">
        <f t="shared" si="6"/>
        <v>301876.39</v>
      </c>
      <c r="G24" s="55">
        <f t="shared" si="6"/>
        <v>621022.4</v>
      </c>
      <c r="H24" s="55">
        <f t="shared" si="6"/>
        <v>381467.80779200245</v>
      </c>
      <c r="I24" s="55">
        <f t="shared" si="6"/>
        <v>404661.05050575623</v>
      </c>
      <c r="J24" s="55">
        <f t="shared" si="6"/>
        <v>429264.44237650628</v>
      </c>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c r="DG24" s="38"/>
      <c r="DH24" s="38"/>
      <c r="DI24" s="38"/>
      <c r="DJ24" s="38"/>
      <c r="DK24" s="38"/>
      <c r="DL24" s="38"/>
      <c r="DM24" s="38"/>
      <c r="DN24" s="38"/>
      <c r="DO24" s="38"/>
      <c r="DP24" s="38"/>
      <c r="DQ24" s="38"/>
      <c r="DR24" s="38"/>
      <c r="DS24" s="38"/>
      <c r="DT24" s="38"/>
      <c r="DU24" s="38"/>
      <c r="DV24" s="38"/>
      <c r="DW24" s="38"/>
      <c r="DX24" s="38"/>
      <c r="DY24" s="38"/>
      <c r="DZ24" s="38"/>
      <c r="EA24" s="38"/>
      <c r="EB24" s="38"/>
      <c r="EC24" s="38"/>
      <c r="ED24" s="38"/>
      <c r="EE24" s="38"/>
      <c r="EF24" s="38"/>
      <c r="EG24" s="38"/>
      <c r="EH24" s="38"/>
      <c r="EI24" s="38"/>
      <c r="EJ24" s="38"/>
      <c r="EK24" s="38"/>
      <c r="EL24" s="38"/>
      <c r="EM24" s="38"/>
      <c r="EN24" s="38"/>
      <c r="EO24" s="38"/>
      <c r="EP24" s="38"/>
      <c r="EQ24" s="38"/>
      <c r="ER24" s="38"/>
      <c r="ES24" s="38"/>
      <c r="ET24" s="38"/>
      <c r="EU24" s="38"/>
      <c r="EV24" s="38"/>
      <c r="EW24" s="38"/>
      <c r="EX24" s="38"/>
      <c r="EY24" s="38"/>
      <c r="EZ24" s="38"/>
      <c r="FA24" s="38"/>
      <c r="FB24" s="38"/>
      <c r="FC24" s="38"/>
      <c r="FD24" s="38"/>
      <c r="FE24" s="38"/>
      <c r="FF24" s="38"/>
      <c r="FG24" s="38"/>
      <c r="FH24" s="38"/>
      <c r="FI24" s="38"/>
      <c r="FJ24" s="38"/>
      <c r="FK24" s="38"/>
      <c r="FL24" s="38"/>
      <c r="FM24" s="38"/>
      <c r="FN24" s="38"/>
      <c r="FO24" s="38"/>
      <c r="FP24" s="38"/>
      <c r="FQ24" s="38"/>
      <c r="FR24" s="38"/>
      <c r="FS24" s="38"/>
      <c r="FT24" s="38"/>
      <c r="FU24" s="38"/>
      <c r="FV24" s="38"/>
    </row>
    <row r="25" spans="1:178" customFormat="1" ht="12.75" x14ac:dyDescent="0.2">
      <c r="A25" s="56" t="s">
        <v>58</v>
      </c>
      <c r="B25" s="158">
        <v>13210100</v>
      </c>
      <c r="C25" s="57" t="s">
        <v>59</v>
      </c>
      <c r="D25" s="436">
        <f>972031.67-959622.13-D26</f>
        <v>4553.110000000037</v>
      </c>
      <c r="E25" s="436">
        <v>13493.52</v>
      </c>
      <c r="F25" s="436">
        <f>3.88+301872.51-F26</f>
        <v>104768.79000000001</v>
      </c>
      <c r="G25" s="29">
        <f>(185190.68/6)*12</f>
        <v>370381.36</v>
      </c>
      <c r="H25" s="58">
        <f>(((E25*(1+Parâmetros!B11)*(1+Parâmetros!C11)*(1+Parâmetros!D11))+(F25*(1+Parâmetros!C11)*(1+Parâmetros!D11)+(G25*(1+Parâmetros!D11))))/3)*(1+Parâmetros!E11)*(1+Parâmetros!E12)</f>
        <v>183574.67020234268</v>
      </c>
      <c r="I25" s="58">
        <f>H25*(1+Parâmetros!F11)*(1+Parâmetros!F12)</f>
        <v>194736.0101506451</v>
      </c>
      <c r="J25" s="58">
        <f>I25*(1+Parâmetros!G11)*(1+Parâmetros!G12)</f>
        <v>206575.95956780436</v>
      </c>
    </row>
    <row r="26" spans="1:178" customFormat="1" ht="12.75" x14ac:dyDescent="0.2">
      <c r="A26" s="56" t="s">
        <v>60</v>
      </c>
      <c r="B26" s="158">
        <v>13210100</v>
      </c>
      <c r="C26" s="57" t="s">
        <v>61</v>
      </c>
      <c r="D26" s="436">
        <f>8419.7-563.27</f>
        <v>7856.43</v>
      </c>
      <c r="E26" s="436">
        <v>67783.25</v>
      </c>
      <c r="F26" s="436">
        <v>197107.6</v>
      </c>
      <c r="G26" s="29">
        <f>(125320.52/6)*12</f>
        <v>250641.04</v>
      </c>
      <c r="H26" s="58">
        <f>(((E26*(1+Parâmetros!B11)*(1+Parâmetros!C11)*(1+Parâmetros!D11))+(F26*(1+Parâmetros!C11)*(1+Parâmetros!D11)+(G26*(1+Parâmetros!D11))))/3)*(1+Parâmetros!E11)*(1+Parâmetros!E12)</f>
        <v>197893.13758965977</v>
      </c>
      <c r="I26" s="58">
        <f>H26*(1+Parâmetros!F11)*(1+Parâmetros!F12)</f>
        <v>209925.04035511112</v>
      </c>
      <c r="J26" s="58">
        <f>I26*(1+Parâmetros!G11)*(1+Parâmetros!G12)</f>
        <v>222688.4828087019</v>
      </c>
    </row>
    <row r="27" spans="1:178" customFormat="1" ht="12.75" x14ac:dyDescent="0.2">
      <c r="A27" s="56" t="s">
        <v>62</v>
      </c>
      <c r="B27" s="158">
        <v>13210500</v>
      </c>
      <c r="C27" s="57" t="s">
        <v>63</v>
      </c>
      <c r="D27" s="29"/>
      <c r="E27" s="29"/>
      <c r="F27" s="29"/>
      <c r="G27" s="29"/>
      <c r="H27" s="58">
        <f>(((E27*(1+Parâmetros!B11)*(1+Parâmetros!C11)*(1+Parâmetros!D11))+(F27*(1+Parâmetros!C11)*(1+Parâmetros!D11)+(G27*(1+Parâmetros!D11))))/3)*(1+Parâmetros!E11)*(1+Parâmetros!E12)</f>
        <v>0</v>
      </c>
      <c r="I27" s="58">
        <f>H27*(1+Parâmetros!F11)*(1+Parâmetros!F12)</f>
        <v>0</v>
      </c>
      <c r="J27" s="58">
        <f>I27*(1+Parâmetros!G11)*(1+Parâmetros!G12)</f>
        <v>0</v>
      </c>
    </row>
    <row r="28" spans="1:178" customFormat="1" ht="12.75" x14ac:dyDescent="0.2">
      <c r="A28" s="56" t="s">
        <v>64</v>
      </c>
      <c r="B28" s="158">
        <v>13299900</v>
      </c>
      <c r="C28" s="57" t="s">
        <v>65</v>
      </c>
      <c r="D28" s="29"/>
      <c r="E28" s="29"/>
      <c r="F28" s="29"/>
      <c r="G28" s="29"/>
      <c r="H28" s="58">
        <f>(((E28*(1+Parâmetros!B11)*(1+Parâmetros!C11)*(1+Parâmetros!D11))+(F28*(1+Parâmetros!C11)*(1+Parâmetros!D11)+(G28*(1+Parâmetros!D11))))/3)*(1+Parâmetros!E11)*(1+Parâmetros!E12)</f>
        <v>0</v>
      </c>
      <c r="I28" s="58">
        <f>H28*(1+Parâmetros!F11)*(1+Parâmetros!F12)</f>
        <v>0</v>
      </c>
      <c r="J28" s="58">
        <f>I28*(1+Parâmetros!G11)*(1+Parâmetros!G12)</f>
        <v>0</v>
      </c>
    </row>
    <row r="29" spans="1:178" customFormat="1" ht="25.5" x14ac:dyDescent="0.2">
      <c r="A29" s="56" t="s">
        <v>66</v>
      </c>
      <c r="B29" s="158">
        <v>13300000</v>
      </c>
      <c r="C29" s="57" t="s">
        <v>67</v>
      </c>
      <c r="D29" s="29"/>
      <c r="E29" s="29"/>
      <c r="F29" s="29"/>
      <c r="G29" s="29"/>
      <c r="H29" s="58">
        <f>(((E29*(1+Parâmetros!B11)*(1+Parâmetros!C11)*(1+Parâmetros!D11))+(F29*(1+Parâmetros!C11)*(1+Parâmetros!D11)+(G29*(1+Parâmetros!D11))))/3)*(1+Parâmetros!E11)*(1+Parâmetros!E12)</f>
        <v>0</v>
      </c>
      <c r="I29" s="58">
        <f>H29*(1+Parâmetros!F11)*(1+Parâmetros!F12)</f>
        <v>0</v>
      </c>
      <c r="J29" s="58">
        <f>I29*(1+Parâmetros!G11)*(1+Parâmetros!G12)</f>
        <v>0</v>
      </c>
    </row>
    <row r="30" spans="1:178" customFormat="1" ht="12.75" x14ac:dyDescent="0.2">
      <c r="A30" s="56" t="s">
        <v>68</v>
      </c>
      <c r="B30" s="158">
        <v>13610000</v>
      </c>
      <c r="C30" s="57" t="s">
        <v>69</v>
      </c>
      <c r="D30" s="29"/>
      <c r="E30" s="29"/>
      <c r="F30" s="29">
        <v>216800</v>
      </c>
      <c r="G30" s="29"/>
      <c r="H30" s="58">
        <f>(((E30*(1+Parâmetros!B11)*(1+Parâmetros!C11)*(1+Parâmetros!D11))+(F30*(1+Parâmetros!C11)*(1+Parâmetros!D11)+(G30*(1+Parâmetros!D11))))/3)*(1+Parâmetros!E11)*(1+Parâmetros!E12)</f>
        <v>84837.700080640003</v>
      </c>
      <c r="I30" s="58">
        <f>H30*(1+Parâmetros!F11)*(1+Parâmetros!F12)</f>
        <v>89995.83224554293</v>
      </c>
      <c r="J30" s="58">
        <f>I30*(1+Parâmetros!G11)*(1+Parâmetros!G12)</f>
        <v>95467.578846071949</v>
      </c>
    </row>
    <row r="31" spans="1:178" customFormat="1" ht="12.75" x14ac:dyDescent="0.2">
      <c r="A31" s="56" t="s">
        <v>70</v>
      </c>
      <c r="B31" s="158">
        <v>13900000</v>
      </c>
      <c r="C31" s="57" t="s">
        <v>71</v>
      </c>
      <c r="D31" s="29"/>
      <c r="E31" s="29"/>
      <c r="F31" s="29"/>
      <c r="G31" s="29"/>
      <c r="H31" s="58">
        <f>(((E31*(1+Parâmetros!B11)*(1+Parâmetros!C11)*(1+Parâmetros!D11))+(F31*(1+Parâmetros!C11)*(1+Parâmetros!D11)+(G31*(1+Parâmetros!D11))))/3)*(1+Parâmetros!E11)*(1+Parâmetros!E12)</f>
        <v>0</v>
      </c>
      <c r="I31" s="58">
        <f>H31*(1+Parâmetros!F11)*(1+Parâmetros!F12)</f>
        <v>0</v>
      </c>
      <c r="J31" s="58">
        <f>I31*(1+Parâmetros!G11)*(1+Parâmetros!G12)</f>
        <v>0</v>
      </c>
    </row>
    <row r="32" spans="1:178" customFormat="1" ht="12.75" x14ac:dyDescent="0.2">
      <c r="A32" s="56" t="s">
        <v>72</v>
      </c>
      <c r="B32" s="158">
        <v>14110100</v>
      </c>
      <c r="C32" s="57" t="s">
        <v>73</v>
      </c>
      <c r="D32" s="29"/>
      <c r="E32" s="29"/>
      <c r="F32" s="29"/>
      <c r="G32" s="29"/>
      <c r="H32" s="58">
        <f>(((E32*(1+Parâmetros!B11)*(1+Parâmetros!C11)*(1+Parâmetros!D11))+(F32*(1+Parâmetros!C11)*(1+Parâmetros!D11)+(G32*(1+Parâmetros!D11))))/3)*(1+Parâmetros!E11)*(1+Parâmetros!E12)</f>
        <v>0</v>
      </c>
      <c r="I32" s="58">
        <f>H32*(1+Parâmetros!F11)*(1+Parâmetros!F12)</f>
        <v>0</v>
      </c>
      <c r="J32" s="58">
        <f>I32*(1+Parâmetros!G11)*(1+Parâmetros!G12)</f>
        <v>0</v>
      </c>
    </row>
    <row r="33" spans="1:12" customFormat="1" ht="12.75" x14ac:dyDescent="0.2">
      <c r="A33" s="56" t="s">
        <v>74</v>
      </c>
      <c r="B33" s="158">
        <v>15110100</v>
      </c>
      <c r="C33" s="57" t="s">
        <v>75</v>
      </c>
      <c r="D33" s="29"/>
      <c r="E33" s="29"/>
      <c r="F33" s="29"/>
      <c r="G33" s="29"/>
      <c r="H33" s="58">
        <f>(((E33*(1+Parâmetros!B11)*(1+Parâmetros!C11)*(1+Parâmetros!D11))+(F33*(1+Parâmetros!C11)*(1+Parâmetros!D11)+(G33*(1+Parâmetros!D11))))/3)*(1+Parâmetros!E11)*(1+Parâmetros!E12)</f>
        <v>0</v>
      </c>
      <c r="I33" s="58">
        <f>H33*(1+Parâmetros!F11)*(1+Parâmetros!F12)</f>
        <v>0</v>
      </c>
      <c r="J33" s="58">
        <f>I33*(1+Parâmetros!G11)*(1+Parâmetros!G12)</f>
        <v>0</v>
      </c>
    </row>
    <row r="34" spans="1:12" s="152" customFormat="1" ht="12.75" x14ac:dyDescent="0.2">
      <c r="A34" s="149" t="s">
        <v>76</v>
      </c>
      <c r="B34" s="159">
        <v>16000000</v>
      </c>
      <c r="C34" s="150" t="s">
        <v>77</v>
      </c>
      <c r="D34" s="151">
        <f t="shared" ref="D34:J34" si="7">D35+D36</f>
        <v>578014.13</v>
      </c>
      <c r="E34" s="151">
        <f t="shared" si="7"/>
        <v>756062.97</v>
      </c>
      <c r="F34" s="151">
        <f t="shared" si="7"/>
        <v>802035.32</v>
      </c>
      <c r="G34" s="151">
        <f t="shared" si="7"/>
        <v>974198.42000000016</v>
      </c>
      <c r="H34" s="151">
        <f t="shared" si="7"/>
        <v>987134.84575667989</v>
      </c>
      <c r="I34" s="151">
        <f t="shared" si="7"/>
        <v>1047152.6443786861</v>
      </c>
      <c r="J34" s="151">
        <f t="shared" si="7"/>
        <v>1110819.5251569103</v>
      </c>
    </row>
    <row r="35" spans="1:12" customFormat="1" ht="25.5" x14ac:dyDescent="0.2">
      <c r="A35" s="57" t="s">
        <v>78</v>
      </c>
      <c r="B35" s="160" t="s">
        <v>79</v>
      </c>
      <c r="C35" s="57" t="s">
        <v>80</v>
      </c>
      <c r="D35" s="29"/>
      <c r="E35" s="29"/>
      <c r="F35" s="29"/>
      <c r="G35" s="29"/>
      <c r="H35" s="55">
        <f>(((E35*(1+Parâmetros!B11)*(1+Parâmetros!C11)*(1+Parâmetros!D11))+(F35*(1+Parâmetros!C11)*(1+Parâmetros!D11)+(G35*(1+Parâmetros!D11))))/3)*(1+Parâmetros!E11)</f>
        <v>0</v>
      </c>
      <c r="I35" s="58">
        <f>H35*(1+Parâmetros!F11)</f>
        <v>0</v>
      </c>
      <c r="J35" s="58">
        <f>I35*(1+Parâmetros!G11)</f>
        <v>0</v>
      </c>
    </row>
    <row r="36" spans="1:12" customFormat="1" ht="12.75" x14ac:dyDescent="0.2">
      <c r="A36" s="56" t="s">
        <v>76</v>
      </c>
      <c r="B36" s="158">
        <v>16999900</v>
      </c>
      <c r="C36" s="57" t="s">
        <v>81</v>
      </c>
      <c r="D36" s="436">
        <v>578014.13</v>
      </c>
      <c r="E36" s="436">
        <v>756062.97</v>
      </c>
      <c r="F36" s="436">
        <v>802035.32</v>
      </c>
      <c r="G36" s="29">
        <f>(487099.21/6)*12</f>
        <v>974198.42000000016</v>
      </c>
      <c r="H36" s="55">
        <f>(((E36*(1+Parâmetros!B11)*(1+Parâmetros!C11)*(1+Parâmetros!D11))+(F36*(1+Parâmetros!C11)*(1+Parâmetros!D11)+(G36*(1+Parâmetros!D11))))/3)*(1+Parâmetros!E11)*(1+Parâmetros!E12)</f>
        <v>987134.84575667989</v>
      </c>
      <c r="I36" s="55">
        <f>H36*(1+Parâmetros!F11)*(1+Parâmetros!F12)</f>
        <v>1047152.6443786861</v>
      </c>
      <c r="J36" s="55">
        <f>I36*(1+Parâmetros!G11)*(1+Parâmetros!G12)</f>
        <v>1110819.5251569103</v>
      </c>
      <c r="L36" s="450"/>
    </row>
    <row r="37" spans="1:12" s="5" customFormat="1" ht="12.75" x14ac:dyDescent="0.2">
      <c r="A37" s="53" t="s">
        <v>82</v>
      </c>
      <c r="B37" s="158">
        <v>17000000</v>
      </c>
      <c r="C37" s="54" t="s">
        <v>83</v>
      </c>
      <c r="D37" s="55">
        <f t="shared" ref="D37:J37" si="8">D38+D50+D60+D61+D62+D63+D64</f>
        <v>16646118.77</v>
      </c>
      <c r="E37" s="55">
        <f t="shared" si="8"/>
        <v>20346120.560000002</v>
      </c>
      <c r="F37" s="55">
        <f t="shared" si="8"/>
        <v>25455931.02</v>
      </c>
      <c r="G37" s="55">
        <f t="shared" si="8"/>
        <v>27397202.291333333</v>
      </c>
      <c r="H37" s="55">
        <f t="shared" si="8"/>
        <v>28225771.43603956</v>
      </c>
      <c r="I37" s="55">
        <f t="shared" si="8"/>
        <v>32243336.522596341</v>
      </c>
      <c r="J37" s="55">
        <f t="shared" si="8"/>
        <v>35907601.220877968</v>
      </c>
      <c r="L37" s="451"/>
    </row>
    <row r="38" spans="1:12" s="5" customFormat="1" ht="12.75" x14ac:dyDescent="0.2">
      <c r="A38" s="53" t="s">
        <v>84</v>
      </c>
      <c r="B38" s="158">
        <v>17100000</v>
      </c>
      <c r="C38" s="54" t="s">
        <v>85</v>
      </c>
      <c r="D38" s="55">
        <f t="shared" ref="D38:J38" si="9">D39+D40+D41+D42+D43+D44+D45+D46+D47+D48+D49</f>
        <v>10261164.720000001</v>
      </c>
      <c r="E38" s="55">
        <f t="shared" si="9"/>
        <v>12359114.49</v>
      </c>
      <c r="F38" s="55">
        <f t="shared" si="9"/>
        <v>16556584.85</v>
      </c>
      <c r="G38" s="55">
        <f t="shared" si="9"/>
        <v>18446643.208333332</v>
      </c>
      <c r="H38" s="55">
        <f t="shared" si="9"/>
        <v>19128878.498238333</v>
      </c>
      <c r="I38" s="55">
        <f t="shared" si="9"/>
        <v>22746613.080276493</v>
      </c>
      <c r="J38" s="55">
        <f t="shared" si="9"/>
        <v>26193874.108757831</v>
      </c>
    </row>
    <row r="39" spans="1:12" customFormat="1" ht="12.75" x14ac:dyDescent="0.2">
      <c r="A39" s="56" t="s">
        <v>86</v>
      </c>
      <c r="B39" s="158">
        <v>17115110</v>
      </c>
      <c r="C39" s="57" t="s">
        <v>87</v>
      </c>
      <c r="D39" s="436">
        <f>7653463.73+1002390.68</f>
        <v>8655854.4100000001</v>
      </c>
      <c r="E39" s="436">
        <v>10319993.65</v>
      </c>
      <c r="F39" s="436">
        <v>13237017.91</v>
      </c>
      <c r="G39" s="29">
        <f>(8168749.63/6)*11</f>
        <v>14976040.988333333</v>
      </c>
      <c r="H39" s="58">
        <f>(((E39*(1+Parâmetros!B11)*(1+Parâmetros!C11)*(1+Parâmetros!D11))+(F39*(1+Parâmetros!C11)*(1+Parâmetros!D11)+(G39*(1+Parâmetros!D11))))/3)*(1+Parâmetros!E11)*(1+Parâmetros!E16)-1600000</f>
        <v>15205582.57855586</v>
      </c>
      <c r="I39" s="58">
        <f>H39*(1+Parâmetros!F11)*(1+Parâmetros!F16)</f>
        <v>18218887.742048219</v>
      </c>
      <c r="J39" s="58">
        <f>I39*(1+Parâmetros!G11)*(1+Parâmetros!G16)</f>
        <v>21086986.408052653</v>
      </c>
    </row>
    <row r="40" spans="1:12" customFormat="1" ht="25.5" x14ac:dyDescent="0.2">
      <c r="A40" s="56" t="s">
        <v>88</v>
      </c>
      <c r="B40" s="158">
        <v>17115120</v>
      </c>
      <c r="C40" s="57" t="s">
        <v>89</v>
      </c>
      <c r="D40" s="436">
        <v>344445.14</v>
      </c>
      <c r="E40" s="436">
        <v>452337.91999999998</v>
      </c>
      <c r="F40" s="436">
        <v>581708.91</v>
      </c>
      <c r="G40" s="29">
        <f>F40</f>
        <v>581708.91</v>
      </c>
      <c r="H40" s="58">
        <f>(((E40*(1+Parâmetros!B11)*(1+Parâmetros!C11)*(1+Parâmetros!D11))+(F40*(1+Parâmetros!C11)*(1+Parâmetros!D11)+(G40*(1+Parâmetros!D11))))/3)*(1+Parâmetros!E11)*(1+Parâmetros!E16)</f>
        <v>706295.97954285692</v>
      </c>
      <c r="I40" s="58">
        <f>H40*(1+Parâmetros!F11)*(1+Parâmetros!F16)</f>
        <v>846263.34423376108</v>
      </c>
      <c r="J40" s="58">
        <f>I40*(1+Parâmetros!G11)*(1+Parâmetros!G16)</f>
        <v>979485.89892811445</v>
      </c>
    </row>
    <row r="41" spans="1:12" customFormat="1" ht="25.5" x14ac:dyDescent="0.2">
      <c r="A41" s="56" t="s">
        <v>90</v>
      </c>
      <c r="B41" s="158">
        <v>17115130</v>
      </c>
      <c r="C41" s="57" t="s">
        <v>91</v>
      </c>
      <c r="D41" s="436">
        <v>345179.5</v>
      </c>
      <c r="E41" s="436">
        <v>399571.6</v>
      </c>
      <c r="F41" s="436">
        <v>729839.47</v>
      </c>
      <c r="G41" s="29">
        <f>F41</f>
        <v>729839.47</v>
      </c>
      <c r="H41" s="58">
        <f>(((E41*(1+Parâmetros!B11)*(1+Parâmetros!C11)*(1+Parâmetros!D11))+(F41*(1+Parâmetros!C11)*(1+Parâmetros!D11)+(G41*(1+Parâmetros!D11))))/3)*(1+Parâmetros!E11)*(1+Parâmetros!E16)</f>
        <v>808214.35355895793</v>
      </c>
      <c r="I41" s="58">
        <f>H41*(1+Parâmetros!F11)*(1+Parâmetros!F16)</f>
        <v>968378.9820568125</v>
      </c>
      <c r="J41" s="58">
        <f>I41*(1+Parâmetros!G11)*(1+Parâmetros!G16)</f>
        <v>1120825.5257727483</v>
      </c>
    </row>
    <row r="42" spans="1:12" customFormat="1" ht="12.75" x14ac:dyDescent="0.2">
      <c r="A42" s="56" t="s">
        <v>92</v>
      </c>
      <c r="B42" s="158">
        <v>17115200</v>
      </c>
      <c r="C42" s="57" t="s">
        <v>93</v>
      </c>
      <c r="D42" s="436">
        <v>12735.81</v>
      </c>
      <c r="E42" s="436">
        <v>13809.21</v>
      </c>
      <c r="F42" s="436">
        <v>15622.61</v>
      </c>
      <c r="G42" s="29">
        <f>(1348.49/6)*12</f>
        <v>2696.98</v>
      </c>
      <c r="H42" s="58">
        <f>(((E42*(1+Parâmetros!B11)*(1+Parâmetros!C11)*(1+Parâmetros!D11))+(F42*(1+Parâmetros!C11)*(1+Parâmetros!D11)+(G42*(1+Parâmetros!D11))))/3)*(1+Parâmetros!E11)*(1+Parâmetros!E16)</f>
        <v>14379.875436662251</v>
      </c>
      <c r="I42" s="58">
        <f>H42*(1+Parâmetros!F11)*(1+Parâmetros!F16)</f>
        <v>17229.549408692768</v>
      </c>
      <c r="J42" s="58">
        <f>I42*(1+Parâmetros!G11)*(1+Parâmetros!G16)</f>
        <v>19941.902016304462</v>
      </c>
    </row>
    <row r="43" spans="1:12" customFormat="1" ht="12.75" x14ac:dyDescent="0.2">
      <c r="A43" s="56" t="s">
        <v>94</v>
      </c>
      <c r="B43" s="158">
        <v>17120000</v>
      </c>
      <c r="C43" s="57" t="s">
        <v>95</v>
      </c>
      <c r="D43" s="436">
        <v>603136.68999999994</v>
      </c>
      <c r="E43" s="436">
        <v>846340.23</v>
      </c>
      <c r="F43" s="436">
        <v>1066391.07</v>
      </c>
      <c r="G43" s="29">
        <f>(530284.32/6)*12</f>
        <v>1060568.6399999999</v>
      </c>
      <c r="H43" s="58">
        <f>(((E43*(1+Parâmetros!B11)*(1+Parâmetros!C11)*(1+Parâmetros!D11))+(F43*(1+Parâmetros!C11)*(1+Parâmetros!D11)+(G43*(1+Parâmetros!D11))))/3)*(1+Parâmetros!E11)*(1+Parâmetros!E16)</f>
        <v>1300311.3855155117</v>
      </c>
      <c r="I43" s="58">
        <f>H43*(1+Parâmetros!F11)*(1+Parâmetros!F16)</f>
        <v>1557995.3638753812</v>
      </c>
      <c r="J43" s="58">
        <f>I43*(1+Parâmetros!G11)*(1+Parâmetros!G16)</f>
        <v>1803261.9513882434</v>
      </c>
    </row>
    <row r="44" spans="1:12" customFormat="1" ht="25.5" x14ac:dyDescent="0.2">
      <c r="A44" s="56" t="s">
        <v>96</v>
      </c>
      <c r="B44" s="158">
        <v>17130000</v>
      </c>
      <c r="C44" s="57" t="s">
        <v>97</v>
      </c>
      <c r="D44" s="436">
        <v>228443.61</v>
      </c>
      <c r="E44" s="436">
        <v>202966.26</v>
      </c>
      <c r="F44" s="436">
        <v>352450.87</v>
      </c>
      <c r="G44" s="29">
        <f>(391577.32/6)*12</f>
        <v>783154.64</v>
      </c>
      <c r="H44" s="58">
        <f>G44</f>
        <v>783154.64</v>
      </c>
      <c r="I44" s="58">
        <f>H44*(1+Parâmetros!F11)</f>
        <v>814480.8256000001</v>
      </c>
      <c r="J44" s="58">
        <f>I44*(1+Parâmetros!G11)</f>
        <v>847060.05862400017</v>
      </c>
    </row>
    <row r="45" spans="1:12" customFormat="1" ht="12.75" x14ac:dyDescent="0.2">
      <c r="A45" s="56" t="s">
        <v>98</v>
      </c>
      <c r="B45" s="158">
        <v>17165000</v>
      </c>
      <c r="C45" s="57" t="s">
        <v>99</v>
      </c>
      <c r="D45" s="436">
        <v>0</v>
      </c>
      <c r="E45" s="436"/>
      <c r="F45" s="436">
        <v>40888.550000000003</v>
      </c>
      <c r="G45" s="29">
        <f>(13634.25/6)*12</f>
        <v>27268.5</v>
      </c>
      <c r="H45" s="58">
        <f>(((E45*(1+Parâmetros!B11)*(1+Parâmetros!C11)*(1+Parâmetros!D11))+(F45*(1+Parâmetros!C11)*(1+Parâmetros!D11)+(G45*(1+Parâmetros!D11))))/3)*(1+Parâmetros!E11)</f>
        <v>25574.60562848534</v>
      </c>
      <c r="I45" s="58">
        <f>H45*(1+Parâmetros!F11)</f>
        <v>26597.589853624755</v>
      </c>
      <c r="J45" s="58">
        <f>I45*(1+Parâmetros!G11)</f>
        <v>27661.493447769746</v>
      </c>
    </row>
    <row r="46" spans="1:12" customFormat="1" ht="25.5" x14ac:dyDescent="0.2">
      <c r="A46" s="56" t="s">
        <v>100</v>
      </c>
      <c r="B46" s="158">
        <v>17140000</v>
      </c>
      <c r="C46" s="57" t="s">
        <v>101</v>
      </c>
      <c r="D46" s="436">
        <v>71369.56</v>
      </c>
      <c r="E46" s="436">
        <v>76812.86</v>
      </c>
      <c r="F46" s="436">
        <f>108221.09+8579.43</f>
        <v>116800.51999999999</v>
      </c>
      <c r="G46" s="29">
        <f>(124460.12/6)*12</f>
        <v>248920.24</v>
      </c>
      <c r="H46" s="58">
        <f>G46</f>
        <v>248920.24</v>
      </c>
      <c r="I46" s="58">
        <f>H46*(1+Parâmetros!F11)</f>
        <v>258877.0496</v>
      </c>
      <c r="J46" s="58">
        <f>I46*(1+Parâmetros!G11)</f>
        <v>269232.13158400002</v>
      </c>
    </row>
    <row r="47" spans="1:12" customFormat="1" ht="12.75" x14ac:dyDescent="0.2">
      <c r="A47" s="56" t="s">
        <v>102</v>
      </c>
      <c r="B47" s="158">
        <v>17195100</v>
      </c>
      <c r="C47" s="57" t="s">
        <v>103</v>
      </c>
      <c r="D47" s="436">
        <v>0</v>
      </c>
      <c r="E47" s="436"/>
      <c r="F47" s="436"/>
      <c r="G47" s="29"/>
      <c r="H47" s="58"/>
      <c r="I47" s="58"/>
      <c r="J47" s="58"/>
    </row>
    <row r="48" spans="1:12" customFormat="1" ht="12.75" x14ac:dyDescent="0.2">
      <c r="A48" s="56" t="s">
        <v>104</v>
      </c>
      <c r="B48" s="158">
        <v>17170000</v>
      </c>
      <c r="C48" s="57" t="s">
        <v>105</v>
      </c>
      <c r="D48" s="436">
        <v>0</v>
      </c>
      <c r="E48" s="436"/>
      <c r="F48" s="436"/>
      <c r="G48" s="29"/>
      <c r="H48" s="58">
        <f>(((E48*(1+Parâmetros!B11)*(1+Parâmetros!C11)*(1+Parâmetros!D11))+(F48*(1+Parâmetros!C11)*(1+Parâmetros!D11)+(G48*(1+Parâmetros!D11))))/3)*(1+Parâmetros!E11)</f>
        <v>0</v>
      </c>
      <c r="I48" s="58">
        <f>H48*(1+Parâmetros!F11)</f>
        <v>0</v>
      </c>
      <c r="J48" s="58">
        <f>I48*(1+Parâmetros!G11)</f>
        <v>0</v>
      </c>
    </row>
    <row r="49" spans="1:10" customFormat="1" ht="12.75" x14ac:dyDescent="0.2">
      <c r="A49" s="56" t="s">
        <v>106</v>
      </c>
      <c r="B49" s="158">
        <v>17190000</v>
      </c>
      <c r="C49" s="57" t="s">
        <v>107</v>
      </c>
      <c r="D49" s="436">
        <v>0</v>
      </c>
      <c r="E49" s="436">
        <v>47282.76</v>
      </c>
      <c r="F49" s="436">
        <v>415864.94</v>
      </c>
      <c r="G49" s="29">
        <f>(18222.42/6)*12</f>
        <v>36444.839999999997</v>
      </c>
      <c r="H49" s="58">
        <f>G49</f>
        <v>36444.839999999997</v>
      </c>
      <c r="I49" s="58">
        <f>H49*(1+Parâmetros!F11)</f>
        <v>37902.633600000001</v>
      </c>
      <c r="J49" s="58">
        <f>I49*(1+Parâmetros!G11)</f>
        <v>39418.738944000004</v>
      </c>
    </row>
    <row r="50" spans="1:10" s="5" customFormat="1" ht="12.75" x14ac:dyDescent="0.2">
      <c r="A50" s="53" t="s">
        <v>108</v>
      </c>
      <c r="B50" s="158">
        <v>17200000</v>
      </c>
      <c r="C50" s="54" t="s">
        <v>109</v>
      </c>
      <c r="D50" s="55">
        <f>D51+D52+D53+D54+D55+D56+D57+D58+D59</f>
        <v>6012044.5399999991</v>
      </c>
      <c r="E50" s="55">
        <f t="shared" ref="E50:J50" si="10">E51+E52+E53+E54+E55+E56+E57+E58+E59</f>
        <v>7331365.1799999997</v>
      </c>
      <c r="F50" s="55">
        <f t="shared" si="10"/>
        <v>8187498.6100000003</v>
      </c>
      <c r="G50" s="55">
        <f t="shared" si="10"/>
        <v>7634145.9513333337</v>
      </c>
      <c r="H50" s="55">
        <f t="shared" si="10"/>
        <v>7714827.0010605603</v>
      </c>
      <c r="I50" s="55">
        <f t="shared" si="10"/>
        <v>7840795.4225061787</v>
      </c>
      <c r="J50" s="55">
        <f t="shared" si="10"/>
        <v>7797133.4787572231</v>
      </c>
    </row>
    <row r="51" spans="1:10" customFormat="1" ht="12.75" x14ac:dyDescent="0.2">
      <c r="A51" s="56" t="s">
        <v>110</v>
      </c>
      <c r="B51" s="158">
        <v>17215000</v>
      </c>
      <c r="C51" s="57" t="s">
        <v>111</v>
      </c>
      <c r="D51" s="436">
        <v>5183159.83</v>
      </c>
      <c r="E51" s="436">
        <v>6249403.46</v>
      </c>
      <c r="F51" s="436">
        <v>6227680.9100000001</v>
      </c>
      <c r="G51" s="29">
        <f>(2691642.1/6)*12</f>
        <v>5383284.2000000002</v>
      </c>
      <c r="H51" s="58">
        <f>(((E51*(1+Parâmetros!B11)*(1+Parâmetros!C11)*(1+Parâmetros!D11))+(F51*(1+Parâmetros!C11)*(1+Parâmetros!D11)+(G51*(1+Parâmetros!D11))))/3)*(1+Parâmetros!E11)*(1+Parâmetros!E17)-1200000</f>
        <v>5771018.7118477281</v>
      </c>
      <c r="I51" s="58">
        <f>H51*(1+Parâmetros!F11)*(1+Parâmetros!F17)</f>
        <v>5845419.8004486803</v>
      </c>
      <c r="J51" s="58">
        <f>I51*(1+Parâmetros!G11)*(1+Parâmetros!G17)</f>
        <v>5773172.1495805532</v>
      </c>
    </row>
    <row r="52" spans="1:10" customFormat="1" ht="12.75" x14ac:dyDescent="0.2">
      <c r="A52" s="56" t="s">
        <v>112</v>
      </c>
      <c r="B52" s="158">
        <v>17215100</v>
      </c>
      <c r="C52" s="57" t="s">
        <v>113</v>
      </c>
      <c r="D52" s="436">
        <v>555987.42000000004</v>
      </c>
      <c r="E52" s="436">
        <v>696749.04</v>
      </c>
      <c r="F52" s="436">
        <v>768054.56</v>
      </c>
      <c r="G52" s="29">
        <f>F52*1.05</f>
        <v>806457.28800000006</v>
      </c>
      <c r="H52" s="58">
        <f>(((E52*(1+Parâmetros!B11)*(1+Parâmetros!C11)*(1+Parâmetros!D11))+(F52*(1+Parâmetros!C11)*(1+Parâmetros!D11)+(G52*(1+Parâmetros!D11))))/3)*(1+Parâmetros!E11)*(1+Parâmetros!E17)</f>
        <v>881687.72170535743</v>
      </c>
      <c r="I52" s="58">
        <f>H52*(1+Parâmetros!F11)*(1+Parâmetros!F17)</f>
        <v>893054.61021783098</v>
      </c>
      <c r="J52" s="58">
        <f>I52*(1+Parâmetros!G11)*(1+Parâmetros!G17)</f>
        <v>882016.72074405232</v>
      </c>
    </row>
    <row r="53" spans="1:10" customFormat="1" ht="12.75" x14ac:dyDescent="0.2">
      <c r="A53" s="56" t="s">
        <v>114</v>
      </c>
      <c r="B53" s="158">
        <v>17215200</v>
      </c>
      <c r="C53" s="57" t="s">
        <v>115</v>
      </c>
      <c r="D53" s="436">
        <v>73815.710000000006</v>
      </c>
      <c r="E53" s="436">
        <v>73553.84</v>
      </c>
      <c r="F53" s="436">
        <v>59997.440000000002</v>
      </c>
      <c r="G53" s="29">
        <f>(34999.35/6)*12</f>
        <v>69998.7</v>
      </c>
      <c r="H53" s="58">
        <f>(((E53*(1+Parâmetros!B11)*(1+Parâmetros!C11)*(1+Parâmetros!D11))+(F53*(1+Parâmetros!C11)*(1+Parâmetros!D11)+(G53*(1+Parâmetros!D11))))/3)*(1+Parâmetros!E11)*(1+Parâmetros!E17)</f>
        <v>79314.950547473723</v>
      </c>
      <c r="I53" s="58">
        <f>H53*(1+Parâmetros!F11)*(1+Parâmetros!F17)</f>
        <v>80337.494219173823</v>
      </c>
      <c r="J53" s="58">
        <f>I53*(1+Parâmetros!G11)*(1+Parâmetros!G17)</f>
        <v>79344.546675265752</v>
      </c>
    </row>
    <row r="54" spans="1:10" customFormat="1" ht="12.75" x14ac:dyDescent="0.2">
      <c r="A54" s="56" t="s">
        <v>116</v>
      </c>
      <c r="B54" s="158">
        <v>17215300</v>
      </c>
      <c r="C54" s="57" t="s">
        <v>117</v>
      </c>
      <c r="D54" s="436">
        <v>6261.88</v>
      </c>
      <c r="E54" s="436">
        <v>4027.26</v>
      </c>
      <c r="F54" s="436">
        <v>1249.5899999999999</v>
      </c>
      <c r="G54" s="29">
        <f>(3826.24/6)*12</f>
        <v>7652.48</v>
      </c>
      <c r="H54" s="58">
        <f>(((E54*(1+Parâmetros!B11)*(1+Parâmetros!C11)*(1+Parâmetros!D11))+(F54*(1+Parâmetros!C11)*(1+Parâmetros!D11)+(G54*(1+Parâmetros!D11))))/3)*(1+Parâmetros!E11)*(1+Parâmetros!E17)</f>
        <v>4955.178382703948</v>
      </c>
      <c r="I54" s="58">
        <f>H54*(1+Parâmetros!F11)*(1+Parâmetros!F17)</f>
        <v>5019.0615001036904</v>
      </c>
      <c r="J54" s="58">
        <f>I54*(1+Parâmetros!G11)*(1+Parâmetros!G17)</f>
        <v>4957.0273921483786</v>
      </c>
    </row>
    <row r="55" spans="1:10" customFormat="1" ht="12.75" x14ac:dyDescent="0.2">
      <c r="A55" s="56" t="s">
        <v>118</v>
      </c>
      <c r="B55" s="158">
        <v>17219800</v>
      </c>
      <c r="C55" s="57" t="s">
        <v>119</v>
      </c>
      <c r="D55" s="436">
        <v>0</v>
      </c>
      <c r="E55" s="436"/>
      <c r="F55" s="436"/>
      <c r="G55" s="29"/>
      <c r="H55" s="58">
        <f>(((E55*(1+Parâmetros!B11)*(1+Parâmetros!C11)*(1+Parâmetros!D11))+(F55*(1+Parâmetros!C11)*(1+Parâmetros!D11)+(G55*(1+Parâmetros!D11))))/3)*(1+Parâmetros!E11)</f>
        <v>0</v>
      </c>
      <c r="I55" s="58">
        <f>H55*(1+Parâmetros!F11)</f>
        <v>0</v>
      </c>
      <c r="J55" s="58">
        <f>I55*(1+Parâmetros!G11)</f>
        <v>0</v>
      </c>
    </row>
    <row r="56" spans="1:10" customFormat="1" ht="12.75" x14ac:dyDescent="0.2">
      <c r="A56" s="56" t="s">
        <v>120</v>
      </c>
      <c r="B56" s="158">
        <v>17299900</v>
      </c>
      <c r="C56" s="57" t="s">
        <v>121</v>
      </c>
      <c r="D56" s="436">
        <v>0</v>
      </c>
      <c r="E56" s="436"/>
      <c r="F56" s="436"/>
      <c r="G56" s="29"/>
      <c r="H56" s="58">
        <f>(((E56*(1+Parâmetros!B11)*(1+Parâmetros!C11)*(1+Parâmetros!D11))+(F56*(1+Parâmetros!C11)*(1+Parâmetros!D11)+(G56*(1+Parâmetros!D11))))/3)*(1+Parâmetros!E11)</f>
        <v>0</v>
      </c>
      <c r="I56" s="58">
        <f>H56*(1+Parâmetros!F11)</f>
        <v>0</v>
      </c>
      <c r="J56" s="58">
        <f>I56*(1+Parâmetros!G11)</f>
        <v>0</v>
      </c>
    </row>
    <row r="57" spans="1:10" customFormat="1" ht="25.5" x14ac:dyDescent="0.2">
      <c r="A57" s="56" t="s">
        <v>122</v>
      </c>
      <c r="B57" s="158">
        <v>17235000</v>
      </c>
      <c r="C57" s="57" t="s">
        <v>123</v>
      </c>
      <c r="D57" s="436">
        <v>45221.35</v>
      </c>
      <c r="E57" s="436">
        <v>142941.93</v>
      </c>
      <c r="F57" s="436">
        <v>122664.43</v>
      </c>
      <c r="G57" s="29">
        <f>(153010.73/6)*10</f>
        <v>255017.88333333333</v>
      </c>
      <c r="H57" s="58">
        <f>(((E57*(1+Parâmetros!B11)*(1+Parâmetros!C11)*(1+Parâmetros!D11))+(F57*(1+Parâmetros!C11)*(1+Parâmetros!D11)+(G57*(1+Parâmetros!D11))))/3)*(1+Parâmetros!E11)</f>
        <v>197541.10285553447</v>
      </c>
      <c r="I57" s="58">
        <f>H57*(1+Parâmetros!F11)</f>
        <v>205442.74696975586</v>
      </c>
      <c r="J57" s="58">
        <f>I57*(1+Parâmetros!G11)</f>
        <v>213660.45684854611</v>
      </c>
    </row>
    <row r="58" spans="1:10" customFormat="1" ht="12.75" x14ac:dyDescent="0.2">
      <c r="A58" s="56" t="s">
        <v>124</v>
      </c>
      <c r="B58" s="158">
        <v>17240000</v>
      </c>
      <c r="C58" s="57" t="s">
        <v>125</v>
      </c>
      <c r="D58" s="436">
        <v>147598.35</v>
      </c>
      <c r="E58" s="436">
        <v>164689.65</v>
      </c>
      <c r="F58" s="436">
        <v>690323.31</v>
      </c>
      <c r="G58" s="29">
        <f>(180781.63/6)*12</f>
        <v>361563.26</v>
      </c>
      <c r="H58" s="58">
        <f>(((E58*(1+Parâmetros!B11)*(1+Parâmetros!C11)*(1+Parâmetros!D11))+(F58*(1+Parâmetros!C11)*(1+Parâmetros!D11)+(G58*(1+Parâmetros!D11))))/3)*(1+Parâmetros!E11)</f>
        <v>462780.96572176303</v>
      </c>
      <c r="I58" s="58">
        <f>H58*(1+Parâmetros!F11)</f>
        <v>481292.20435063355</v>
      </c>
      <c r="J58" s="58">
        <f>I58*(1+Parâmetros!G11)</f>
        <v>500543.89252465888</v>
      </c>
    </row>
    <row r="59" spans="1:10" customFormat="1" ht="12.75" x14ac:dyDescent="0.2">
      <c r="A59" s="56" t="s">
        <v>126</v>
      </c>
      <c r="B59" s="158">
        <v>17290000</v>
      </c>
      <c r="C59" s="57" t="s">
        <v>121</v>
      </c>
      <c r="D59" s="436">
        <v>0</v>
      </c>
      <c r="E59" s="436"/>
      <c r="F59" s="436">
        <v>317528.37</v>
      </c>
      <c r="G59" s="29">
        <v>750172.14</v>
      </c>
      <c r="H59" s="58">
        <f>F59</f>
        <v>317528.37</v>
      </c>
      <c r="I59" s="58">
        <f>H59*(1+Parâmetros!F11)</f>
        <v>330229.5048</v>
      </c>
      <c r="J59" s="58">
        <f>I59*(1+Parâmetros!G11)</f>
        <v>343438.68499199999</v>
      </c>
    </row>
    <row r="60" spans="1:10" customFormat="1" ht="12.75" x14ac:dyDescent="0.2">
      <c r="A60" s="56" t="s">
        <v>127</v>
      </c>
      <c r="B60" s="158">
        <v>17300000</v>
      </c>
      <c r="C60" s="57" t="s">
        <v>128</v>
      </c>
      <c r="D60" s="436">
        <v>0</v>
      </c>
      <c r="E60" s="436"/>
      <c r="F60" s="436"/>
      <c r="G60" s="29"/>
      <c r="H60" s="58">
        <f>(((E60*(1+Parâmetros!B11)*(1+Parâmetros!C11)*(1+Parâmetros!D11))+(F60*(1+Parâmetros!C11)*(1+Parâmetros!D11)+(G60*(1+Parâmetros!D11))))/3)*(1+Parâmetros!E11)</f>
        <v>0</v>
      </c>
      <c r="I60" s="58">
        <f>H60*(1+Parâmetros!F11)</f>
        <v>0</v>
      </c>
      <c r="J60" s="58">
        <f>I60*(1+Parâmetros!G11)</f>
        <v>0</v>
      </c>
    </row>
    <row r="61" spans="1:10" customFormat="1" ht="12.75" x14ac:dyDescent="0.2">
      <c r="A61" s="56" t="s">
        <v>129</v>
      </c>
      <c r="B61" s="158">
        <v>17400000</v>
      </c>
      <c r="C61" s="57" t="s">
        <v>130</v>
      </c>
      <c r="D61" s="436">
        <v>0</v>
      </c>
      <c r="E61" s="436"/>
      <c r="F61" s="436"/>
      <c r="G61" s="29"/>
      <c r="H61" s="58">
        <f>(((E61*(1+Parâmetros!B11)*(1+Parâmetros!C11)*(1+Parâmetros!D11))+(F61*(1+Parâmetros!C11)*(1+Parâmetros!D11)+(G61*(1+Parâmetros!D11))))/3)*(1+Parâmetros!E11)</f>
        <v>0</v>
      </c>
      <c r="I61" s="58">
        <f>H61*(1+Parâmetros!F11)</f>
        <v>0</v>
      </c>
      <c r="J61" s="58">
        <f>I61*(1+Parâmetros!G11)</f>
        <v>0</v>
      </c>
    </row>
    <row r="62" spans="1:10" customFormat="1" ht="12.75" x14ac:dyDescent="0.2">
      <c r="A62" s="56" t="s">
        <v>131</v>
      </c>
      <c r="B62" s="158">
        <v>17515000</v>
      </c>
      <c r="C62" s="57" t="s">
        <v>132</v>
      </c>
      <c r="D62" s="436">
        <v>372909.51</v>
      </c>
      <c r="E62" s="436">
        <v>655640.89</v>
      </c>
      <c r="F62" s="436">
        <v>711747.56</v>
      </c>
      <c r="G62" s="29">
        <f>(717879.89/6)*11</f>
        <v>1316113.1316666666</v>
      </c>
      <c r="H62" s="58">
        <f>G62*1.05</f>
        <v>1381918.78825</v>
      </c>
      <c r="I62" s="58">
        <f>H62*(1+Parâmetros!F11)*(1+Parâmetros!F16)</f>
        <v>1655774.9853833767</v>
      </c>
      <c r="J62" s="58">
        <f>I62*(1+Parâmetros!G11)*(1+Parâmetros!G16)</f>
        <v>1916434.4775554102</v>
      </c>
    </row>
    <row r="63" spans="1:10" customFormat="1" ht="12.75" x14ac:dyDescent="0.2">
      <c r="A63" s="56" t="s">
        <v>133</v>
      </c>
      <c r="B63" s="158">
        <v>17610000</v>
      </c>
      <c r="C63" s="57" t="s">
        <v>134</v>
      </c>
      <c r="D63" s="436"/>
      <c r="E63" s="436"/>
      <c r="F63" s="436"/>
      <c r="G63" s="29"/>
      <c r="H63" s="58">
        <f>(((E63*(1+Parâmetros!B11)*(1+Parâmetros!C11)*(1+Parâmetros!D11))+(F63*(1+Parâmetros!C11)*(1+Parâmetros!D11)+(G63*(1+Parâmetros!D11))))/3)*(1+Parâmetros!E11)</f>
        <v>0</v>
      </c>
      <c r="I63" s="58">
        <f>H63*(1+Parâmetros!F11)</f>
        <v>0</v>
      </c>
      <c r="J63" s="58">
        <f>I63*(1+Parâmetros!G11)</f>
        <v>0</v>
      </c>
    </row>
    <row r="64" spans="1:10" customFormat="1" ht="12.75" x14ac:dyDescent="0.2">
      <c r="A64" s="56" t="s">
        <v>135</v>
      </c>
      <c r="B64" s="158">
        <v>17910000</v>
      </c>
      <c r="C64" s="57" t="s">
        <v>136</v>
      </c>
      <c r="D64" s="436">
        <v>0</v>
      </c>
      <c r="E64" s="436">
        <v>0</v>
      </c>
      <c r="F64" s="436">
        <v>100</v>
      </c>
      <c r="G64" s="29">
        <v>300</v>
      </c>
      <c r="H64" s="58">
        <f>(((E64*(1+Parâmetros!B11)*(1+Parâmetros!C11)*(1+Parâmetros!D11))+(F64*(1+Parâmetros!C11)*(1+Parâmetros!D11)+(G64*(1+Parâmetros!D11))))/3)*(1+Parâmetros!E11)</f>
        <v>147.14849066666667</v>
      </c>
      <c r="I64" s="58">
        <f>H64*(1+Parâmetros!F11)</f>
        <v>153.03443029333334</v>
      </c>
      <c r="J64" s="58">
        <f>I64*(1+Parâmetros!G11)</f>
        <v>159.15580750506669</v>
      </c>
    </row>
    <row r="65" spans="1:12" s="5" customFormat="1" ht="12.75" x14ac:dyDescent="0.2">
      <c r="A65" s="53" t="s">
        <v>137</v>
      </c>
      <c r="B65" s="158">
        <v>19000000</v>
      </c>
      <c r="C65" s="54" t="s">
        <v>138</v>
      </c>
      <c r="D65" s="55">
        <f t="shared" ref="D65:J65" si="11">D66+D67+D70</f>
        <v>30957.9</v>
      </c>
      <c r="E65" s="55">
        <f t="shared" si="11"/>
        <v>55436.68</v>
      </c>
      <c r="F65" s="55">
        <f t="shared" si="11"/>
        <v>107809.79</v>
      </c>
      <c r="G65" s="55">
        <f t="shared" si="11"/>
        <v>31204.579999999998</v>
      </c>
      <c r="H65" s="55">
        <f t="shared" si="11"/>
        <v>75173.163911516138</v>
      </c>
      <c r="I65" s="55">
        <f t="shared" si="11"/>
        <v>78180.090467976799</v>
      </c>
      <c r="J65" s="55">
        <f t="shared" si="11"/>
        <v>81307.294086695867</v>
      </c>
      <c r="L65" s="451"/>
    </row>
    <row r="66" spans="1:12" customFormat="1" ht="12.75" x14ac:dyDescent="0.2">
      <c r="A66" s="56" t="s">
        <v>139</v>
      </c>
      <c r="B66" s="158">
        <v>19110000</v>
      </c>
      <c r="C66" s="57" t="s">
        <v>140</v>
      </c>
      <c r="D66" s="436">
        <v>8637.7900000000009</v>
      </c>
      <c r="E66" s="436">
        <v>24488.33</v>
      </c>
      <c r="F66" s="436">
        <v>20068.310000000001</v>
      </c>
      <c r="G66" s="29">
        <f>(6353.9/6)*12</f>
        <v>12707.8</v>
      </c>
      <c r="H66" s="58">
        <f>(((E66*(1+Parâmetros!B11)*(1+Parâmetros!C11)*(1+Parâmetros!D11))+(F66*(1+Parâmetros!C11)*(1+Parâmetros!D11)+(G66*(1+Parâmetros!D11))))/3)*(1+Parâmetros!E11)</f>
        <v>22244.966485379959</v>
      </c>
      <c r="I66" s="58">
        <f>H66*(1+Parâmetros!F11)</f>
        <v>23134.765144795158</v>
      </c>
      <c r="J66" s="58">
        <f>I66*(1+Parâmetros!G11)</f>
        <v>24060.155750586964</v>
      </c>
    </row>
    <row r="67" spans="1:12" customFormat="1" ht="12.75" x14ac:dyDescent="0.2">
      <c r="A67" s="72" t="s">
        <v>141</v>
      </c>
      <c r="B67" s="161">
        <v>19200000</v>
      </c>
      <c r="C67" s="73" t="s">
        <v>142</v>
      </c>
      <c r="D67" s="74">
        <f t="shared" ref="D67:J67" si="12">D68+D69</f>
        <v>18245.11</v>
      </c>
      <c r="E67" s="74">
        <f t="shared" si="12"/>
        <v>30948.35</v>
      </c>
      <c r="F67" s="74">
        <f t="shared" si="12"/>
        <v>85303.08</v>
      </c>
      <c r="G67" s="74">
        <f t="shared" si="12"/>
        <v>18154</v>
      </c>
      <c r="H67" s="74">
        <f t="shared" si="12"/>
        <v>51868.421087320188</v>
      </c>
      <c r="I67" s="74">
        <f t="shared" si="12"/>
        <v>53943.157930812995</v>
      </c>
      <c r="J67" s="74">
        <f t="shared" si="12"/>
        <v>56100.884248045513</v>
      </c>
    </row>
    <row r="68" spans="1:12" customFormat="1" ht="12.75" x14ac:dyDescent="0.2">
      <c r="A68" s="56" t="s">
        <v>143</v>
      </c>
      <c r="B68" s="158">
        <v>19220120</v>
      </c>
      <c r="C68" s="57" t="s">
        <v>144</v>
      </c>
      <c r="D68" s="29"/>
      <c r="E68" s="29"/>
      <c r="F68" s="29"/>
      <c r="G68" s="29"/>
      <c r="H68" s="74">
        <f>(((E68*(1+Parâmetros!B11)*(1+Parâmetros!C11)*(1+Parâmetros!D11))+(F68*(1+Parâmetros!C11)*(1+Parâmetros!D11)+(G68*(1+Parâmetros!D11))))/3)*(1+Parâmetros!E11)</f>
        <v>0</v>
      </c>
      <c r="I68" s="74">
        <f>H68*(1+Parâmetros!F11)</f>
        <v>0</v>
      </c>
      <c r="J68" s="74">
        <f>I68*(1+Parâmetros!G11)</f>
        <v>0</v>
      </c>
    </row>
    <row r="69" spans="1:12" customFormat="1" ht="12.75" x14ac:dyDescent="0.2">
      <c r="A69" s="56" t="s">
        <v>145</v>
      </c>
      <c r="B69" s="158">
        <v>19229900</v>
      </c>
      <c r="C69" s="57" t="s">
        <v>146</v>
      </c>
      <c r="D69" s="436">
        <v>18245.11</v>
      </c>
      <c r="E69" s="436">
        <v>30948.35</v>
      </c>
      <c r="F69" s="436">
        <v>85303.08</v>
      </c>
      <c r="G69" s="29">
        <f>(9077/6)*12</f>
        <v>18154</v>
      </c>
      <c r="H69" s="74">
        <f>(((E69*(1+Parâmetros!B11)*(1+Parâmetros!C11)*(1+Parâmetros!D11))+(F69*(1+Parâmetros!C11)*(1+Parâmetros!D11)+(G69*(1+Parâmetros!D11))))/3)*(1+Parâmetros!E11)</f>
        <v>51868.421087320188</v>
      </c>
      <c r="I69" s="74">
        <f>H69*(1+Parâmetros!F11)</f>
        <v>53943.157930812995</v>
      </c>
      <c r="J69" s="74">
        <f>I69*(1+Parâmetros!G11)</f>
        <v>56100.884248045513</v>
      </c>
    </row>
    <row r="70" spans="1:12" s="5" customFormat="1" ht="12.75" x14ac:dyDescent="0.2">
      <c r="A70" s="53" t="s">
        <v>147</v>
      </c>
      <c r="B70" s="158">
        <v>19990000</v>
      </c>
      <c r="C70" s="54" t="s">
        <v>148</v>
      </c>
      <c r="D70" s="55">
        <f t="shared" ref="D70:J70" si="13">D71+D72+D73+D74+D75</f>
        <v>4075</v>
      </c>
      <c r="E70" s="55">
        <f t="shared" si="13"/>
        <v>0</v>
      </c>
      <c r="F70" s="55">
        <f t="shared" si="13"/>
        <v>2438.4</v>
      </c>
      <c r="G70" s="55">
        <f t="shared" si="13"/>
        <v>342.78</v>
      </c>
      <c r="H70" s="55">
        <f t="shared" si="13"/>
        <v>1059.7763388160001</v>
      </c>
      <c r="I70" s="55">
        <f t="shared" si="13"/>
        <v>1102.1673923686401</v>
      </c>
      <c r="J70" s="55">
        <f t="shared" si="13"/>
        <v>1146.2540880633858</v>
      </c>
    </row>
    <row r="71" spans="1:12" customFormat="1" ht="12.75" x14ac:dyDescent="0.2">
      <c r="A71" s="56" t="s">
        <v>149</v>
      </c>
      <c r="B71" s="158">
        <v>19990600</v>
      </c>
      <c r="C71" s="57" t="s">
        <v>150</v>
      </c>
      <c r="D71" s="29"/>
      <c r="E71" s="29"/>
      <c r="F71" s="29"/>
      <c r="G71" s="29"/>
      <c r="H71" s="58">
        <f>(((E71*(1+Parâmetros!B11)*(1+Parâmetros!C11)*(1+Parâmetros!D11))+(F71*(1+Parâmetros!C11)*(1+Parâmetros!D11)+(G71*(1+Parâmetros!D11))))/3)*(1+Parâmetros!E11)</f>
        <v>0</v>
      </c>
      <c r="I71" s="58">
        <f>H71*(1+Parâmetros!F11)</f>
        <v>0</v>
      </c>
      <c r="J71" s="58">
        <f>I71*(1+Parâmetros!G11)</f>
        <v>0</v>
      </c>
    </row>
    <row r="72" spans="1:12" customFormat="1" ht="12.75" x14ac:dyDescent="0.2">
      <c r="A72" s="56" t="s">
        <v>151</v>
      </c>
      <c r="B72" s="158">
        <v>19991100</v>
      </c>
      <c r="C72" s="57" t="s">
        <v>152</v>
      </c>
      <c r="D72" s="29"/>
      <c r="E72" s="29"/>
      <c r="F72" s="29"/>
      <c r="G72" s="29"/>
      <c r="H72" s="58">
        <f>((D72+E72+F72+G72)/4)/Parâmetros!D22*Parâmetros!E22</f>
        <v>0</v>
      </c>
      <c r="I72" s="58">
        <f>((E72+F72+G72+H72)/4)/Parâmetros!E22*Parâmetros!F22</f>
        <v>0</v>
      </c>
      <c r="J72" s="58">
        <f>((F72+G72+H72+I72)/4)/Parâmetros!F22*Parâmetros!G22</f>
        <v>0</v>
      </c>
    </row>
    <row r="73" spans="1:12" customFormat="1" ht="12.75" x14ac:dyDescent="0.2">
      <c r="A73" s="56" t="s">
        <v>153</v>
      </c>
      <c r="B73" s="158">
        <v>19991200</v>
      </c>
      <c r="C73" s="57" t="s">
        <v>154</v>
      </c>
      <c r="D73" s="29"/>
      <c r="E73" s="29"/>
      <c r="F73" s="29"/>
      <c r="G73" s="29"/>
      <c r="H73" s="58">
        <f>(((E73*(1+Parâmetros!B11)*(1+Parâmetros!C11)*(1+Parâmetros!D11))+(F73*(1+Parâmetros!C11)*(1+Parâmetros!D11)+(G73*(1+Parâmetros!D11))))/3)*(1+Parâmetros!E11)</f>
        <v>0</v>
      </c>
      <c r="I73" s="58">
        <f>H73*(1+Parâmetros!F11)</f>
        <v>0</v>
      </c>
      <c r="J73" s="58">
        <f>I73*(1+Parâmetros!G11)</f>
        <v>0</v>
      </c>
    </row>
    <row r="74" spans="1:12" customFormat="1" ht="12.75" x14ac:dyDescent="0.2">
      <c r="A74" s="56" t="s">
        <v>155</v>
      </c>
      <c r="B74" s="158">
        <v>19999930</v>
      </c>
      <c r="C74" s="57" t="s">
        <v>156</v>
      </c>
      <c r="D74" s="29"/>
      <c r="E74" s="29"/>
      <c r="F74" s="29"/>
      <c r="G74" s="29"/>
      <c r="H74" s="58">
        <f>((D74+E74+F74+G74)/4)*(1+Parâmetros!E11)</f>
        <v>0</v>
      </c>
      <c r="I74" s="58">
        <f>((E74+F74+G74+H74)/4)*(1+Parâmetros!F11)</f>
        <v>0</v>
      </c>
      <c r="J74" s="58">
        <f>((F74+G74+H74+I74)/4)*(1+Parâmetros!G11)</f>
        <v>0</v>
      </c>
    </row>
    <row r="75" spans="1:12" customFormat="1" ht="12.75" x14ac:dyDescent="0.2">
      <c r="A75" s="56" t="s">
        <v>157</v>
      </c>
      <c r="B75" s="158">
        <v>19999900</v>
      </c>
      <c r="C75" s="57" t="s">
        <v>158</v>
      </c>
      <c r="D75" s="436">
        <v>4075</v>
      </c>
      <c r="E75" s="436"/>
      <c r="F75" s="436">
        <v>2438.4</v>
      </c>
      <c r="G75" s="29">
        <f>(171.39/6)*12</f>
        <v>342.78</v>
      </c>
      <c r="H75" s="58">
        <f>(((E75*(1+Parâmetros!B11)*(1+Parâmetros!C11)*(1+Parâmetros!D11))+(F75*(1+Parâmetros!C11)*(1+Parâmetros!D11)+(G75*(1+Parâmetros!D11))))/3)*(1+Parâmetros!E11)</f>
        <v>1059.7763388160001</v>
      </c>
      <c r="I75" s="58">
        <f>H75*(1+Parâmetros!F11)</f>
        <v>1102.1673923686401</v>
      </c>
      <c r="J75" s="58">
        <f>I75*(1+Parâmetros!G11)</f>
        <v>1146.2540880633858</v>
      </c>
    </row>
    <row r="76" spans="1:12" s="8" customFormat="1" ht="18" x14ac:dyDescent="0.25">
      <c r="A76" s="53" t="s">
        <v>159</v>
      </c>
      <c r="B76" s="158">
        <v>20000000</v>
      </c>
      <c r="C76" s="54" t="s">
        <v>160</v>
      </c>
      <c r="D76" s="55">
        <f t="shared" ref="D76:J76" si="14">D77+D78+D83+D84+D92</f>
        <v>123159.68999999999</v>
      </c>
      <c r="E76" s="55">
        <f t="shared" si="14"/>
        <v>1659929.32</v>
      </c>
      <c r="F76" s="55">
        <f t="shared" si="14"/>
        <v>2038276.44</v>
      </c>
      <c r="G76" s="55">
        <f t="shared" si="14"/>
        <v>816629.49999999988</v>
      </c>
      <c r="H76" s="55">
        <f t="shared" si="14"/>
        <v>478825.52255402587</v>
      </c>
      <c r="I76" s="55">
        <f t="shared" si="14"/>
        <v>504752.18659218692</v>
      </c>
      <c r="J76" s="55">
        <f t="shared" si="14"/>
        <v>532127.7546945432</v>
      </c>
    </row>
    <row r="77" spans="1:12" customFormat="1" ht="12.75" x14ac:dyDescent="0.2">
      <c r="A77" s="56" t="s">
        <v>161</v>
      </c>
      <c r="B77" s="158">
        <v>21000000</v>
      </c>
      <c r="C77" s="57" t="s">
        <v>162</v>
      </c>
      <c r="D77" s="436"/>
      <c r="E77" s="436">
        <v>973000</v>
      </c>
      <c r="F77" s="436">
        <v>0</v>
      </c>
      <c r="G77" s="29"/>
      <c r="H77" s="162">
        <f>Dívida!E21</f>
        <v>0</v>
      </c>
      <c r="I77" s="58">
        <f>Dívida!F21</f>
        <v>0</v>
      </c>
      <c r="J77" s="58">
        <f>Dívida!G21</f>
        <v>0</v>
      </c>
    </row>
    <row r="78" spans="1:12" s="5" customFormat="1" ht="12.75" x14ac:dyDescent="0.2">
      <c r="A78" s="53" t="s">
        <v>163</v>
      </c>
      <c r="B78" s="158">
        <v>22000000</v>
      </c>
      <c r="C78" s="54" t="s">
        <v>164</v>
      </c>
      <c r="D78" s="55">
        <f t="shared" ref="D78:J78" si="15">D79+D80+D81+D82</f>
        <v>69008.009999999995</v>
      </c>
      <c r="E78" s="55">
        <f t="shared" si="15"/>
        <v>59437.05</v>
      </c>
      <c r="F78" s="55">
        <f t="shared" si="15"/>
        <v>92124.9</v>
      </c>
      <c r="G78" s="55">
        <f t="shared" si="15"/>
        <v>85956.479999999996</v>
      </c>
      <c r="H78" s="55">
        <f t="shared" si="15"/>
        <v>90632.933199055973</v>
      </c>
      <c r="I78" s="55">
        <f t="shared" si="15"/>
        <v>94258.250527018216</v>
      </c>
      <c r="J78" s="55">
        <f t="shared" si="15"/>
        <v>98028.580548098951</v>
      </c>
    </row>
    <row r="79" spans="1:12" s="5" customFormat="1" ht="12.75" x14ac:dyDescent="0.2">
      <c r="A79" s="56" t="s">
        <v>165</v>
      </c>
      <c r="B79" s="158">
        <v>22110100</v>
      </c>
      <c r="C79" s="57" t="s">
        <v>166</v>
      </c>
      <c r="D79" s="436"/>
      <c r="E79" s="436"/>
      <c r="F79" s="436"/>
      <c r="G79" s="29"/>
      <c r="H79" s="58">
        <f>((D79+E79+F79+G79)/4)*(1+Parâmetros!E11)</f>
        <v>0</v>
      </c>
      <c r="I79" s="58">
        <f>((E79+F79+G79+H79)/4)*(1+Parâmetros!F11)</f>
        <v>0</v>
      </c>
      <c r="J79" s="58">
        <f>((F79+G79+H79+I79)/4)*(1+Parâmetros!G11)</f>
        <v>0</v>
      </c>
    </row>
    <row r="80" spans="1:12" s="5" customFormat="1" ht="12.75" x14ac:dyDescent="0.2">
      <c r="A80" s="56" t="s">
        <v>167</v>
      </c>
      <c r="B80" s="158">
        <v>22110200</v>
      </c>
      <c r="C80" s="57" t="s">
        <v>168</v>
      </c>
      <c r="D80" s="437">
        <v>0</v>
      </c>
      <c r="E80" s="437">
        <v>0</v>
      </c>
      <c r="F80" s="437"/>
      <c r="G80" s="29"/>
      <c r="H80" s="58">
        <f>((D80+E80+F80+G80)/4)*(1+Parâmetros!E11)</f>
        <v>0</v>
      </c>
      <c r="I80" s="58">
        <f>((E80+F80+G80+H80)/4)*(1+Parâmetros!F11)</f>
        <v>0</v>
      </c>
      <c r="J80" s="58">
        <f>((F80+G80+H80+I80)/4)*(1+Parâmetros!G11)</f>
        <v>0</v>
      </c>
    </row>
    <row r="81" spans="1:256" customFormat="1" ht="12.75" x14ac:dyDescent="0.2">
      <c r="A81" s="56" t="s">
        <v>169</v>
      </c>
      <c r="B81" s="158">
        <v>22100000</v>
      </c>
      <c r="C81" s="57" t="s">
        <v>170</v>
      </c>
      <c r="D81" s="436"/>
      <c r="E81" s="436"/>
      <c r="F81" s="436">
        <v>0</v>
      </c>
      <c r="G81" s="29"/>
      <c r="H81" s="58">
        <f>(((E81*(1+Parâmetros!B11)*(1+Parâmetros!C11)*(1+Parâmetros!D11))+(F81*(1+Parâmetros!C11)*(1+Parâmetros!D11)+(G81*(1+Parâmetros!D11))))/3)*(1+Parâmetros!E11)</f>
        <v>0</v>
      </c>
      <c r="I81" s="58">
        <f>H81*(1+Parâmetros!F11)</f>
        <v>0</v>
      </c>
      <c r="J81" s="58">
        <f>I81*(1+Parâmetros!G11)</f>
        <v>0</v>
      </c>
    </row>
    <row r="82" spans="1:256" customFormat="1" ht="12.75" x14ac:dyDescent="0.2">
      <c r="A82" s="56" t="s">
        <v>171</v>
      </c>
      <c r="B82" s="158">
        <v>22210100</v>
      </c>
      <c r="C82" s="57" t="s">
        <v>172</v>
      </c>
      <c r="D82" s="436">
        <v>69008.009999999995</v>
      </c>
      <c r="E82" s="436">
        <v>59437.05</v>
      </c>
      <c r="F82" s="436">
        <v>92124.9</v>
      </c>
      <c r="G82" s="29">
        <f>(42978.24/6)*12</f>
        <v>85956.479999999996</v>
      </c>
      <c r="H82" s="58">
        <f>(((E82*(1+Parâmetros!B11)*(1+Parâmetros!C11)*(1+Parâmetros!D11))+(F82*(1+Parâmetros!C11)*(1+Parâmetros!D11)+(G82*(1+Parâmetros!D11))))/3)*(1+Parâmetros!E11)</f>
        <v>90632.933199055973</v>
      </c>
      <c r="I82" s="58">
        <f>H82*(1+Parâmetros!F11)</f>
        <v>94258.250527018216</v>
      </c>
      <c r="J82" s="58">
        <f>I82*(1+Parâmetros!G11)</f>
        <v>98028.580548098951</v>
      </c>
    </row>
    <row r="83" spans="1:256" customFormat="1" ht="12.75" x14ac:dyDescent="0.2">
      <c r="A83" s="56" t="s">
        <v>173</v>
      </c>
      <c r="B83" s="158">
        <v>23110000</v>
      </c>
      <c r="C83" s="57" t="s">
        <v>174</v>
      </c>
      <c r="D83" s="436">
        <v>0</v>
      </c>
      <c r="E83" s="436">
        <v>0</v>
      </c>
      <c r="F83" s="436"/>
      <c r="G83" s="29"/>
      <c r="H83" s="58">
        <f>(((E83*(1+Parâmetros!B11)*(1+Parâmetros!C11)*(1+Parâmetros!D11))+(F83*(1+Parâmetros!C11)*(1+Parâmetros!D11)+(G83*(1+Parâmetros!D11))))/3)*(1+Parâmetros!E11)</f>
        <v>0</v>
      </c>
      <c r="I83" s="58">
        <f>H83*(1+Parâmetros!F11)</f>
        <v>0</v>
      </c>
      <c r="J83" s="58">
        <f>I83*(1+Parâmetros!G11)</f>
        <v>0</v>
      </c>
    </row>
    <row r="84" spans="1:256" s="5" customFormat="1" ht="12.75" x14ac:dyDescent="0.2">
      <c r="A84" s="53" t="s">
        <v>175</v>
      </c>
      <c r="B84" s="158">
        <v>24000000</v>
      </c>
      <c r="C84" s="54" t="s">
        <v>176</v>
      </c>
      <c r="D84" s="55">
        <f t="shared" ref="D84:J84" si="16">D85+D86+D87+D88+D89+D90+D91</f>
        <v>54095.23</v>
      </c>
      <c r="E84" s="55">
        <f t="shared" si="16"/>
        <v>616380.96</v>
      </c>
      <c r="F84" s="55">
        <f t="shared" si="16"/>
        <v>1857368.06</v>
      </c>
      <c r="G84" s="55">
        <f t="shared" si="16"/>
        <v>664580.15999999992</v>
      </c>
      <c r="H84" s="55">
        <f t="shared" si="16"/>
        <v>325655.92</v>
      </c>
      <c r="I84" s="55">
        <f t="shared" si="16"/>
        <v>345455.79993600002</v>
      </c>
      <c r="J84" s="55">
        <f t="shared" si="16"/>
        <v>366459.51257210883</v>
      </c>
    </row>
    <row r="85" spans="1:256" customFormat="1" ht="12.75" x14ac:dyDescent="0.2">
      <c r="A85" s="56" t="s">
        <v>177</v>
      </c>
      <c r="B85" s="158">
        <v>24100000</v>
      </c>
      <c r="C85" s="57" t="s">
        <v>85</v>
      </c>
      <c r="D85" s="436">
        <v>54095.23</v>
      </c>
      <c r="E85" s="436">
        <v>616380.96</v>
      </c>
      <c r="F85" s="436">
        <v>1607030</v>
      </c>
      <c r="G85" s="29">
        <v>216185</v>
      </c>
      <c r="H85" s="58">
        <v>100000</v>
      </c>
      <c r="I85" s="58">
        <f>H85*(1+Parâmetros!F11)*(1+Parâmetros!F12)</f>
        <v>106080</v>
      </c>
      <c r="J85" s="58">
        <f>I85*(1+Parâmetros!G11)*(1+Parâmetros!G12)</f>
        <v>112529.664</v>
      </c>
    </row>
    <row r="86" spans="1:256" customFormat="1" ht="12.75" x14ac:dyDescent="0.2">
      <c r="A86" s="56" t="s">
        <v>178</v>
      </c>
      <c r="B86" s="158">
        <v>24200000</v>
      </c>
      <c r="C86" s="57" t="s">
        <v>109</v>
      </c>
      <c r="D86" s="436"/>
      <c r="E86" s="436"/>
      <c r="F86" s="436">
        <v>250338.06</v>
      </c>
      <c r="G86" s="29">
        <v>448395.16</v>
      </c>
      <c r="H86" s="58">
        <f>100000+125655.92</f>
        <v>225655.91999999998</v>
      </c>
      <c r="I86" s="58">
        <f>H86*(1+Parâmetros!F11)*(1+Parâmetros!F12)</f>
        <v>239375.799936</v>
      </c>
      <c r="J86" s="58">
        <f>I86*(1+Parâmetros!G11)*(1+Parâmetros!G12)</f>
        <v>253929.84857210881</v>
      </c>
    </row>
    <row r="87" spans="1:256" customFormat="1" ht="12.75" x14ac:dyDescent="0.2">
      <c r="A87" s="56" t="s">
        <v>179</v>
      </c>
      <c r="B87" s="158">
        <v>24300000</v>
      </c>
      <c r="C87" s="57" t="s">
        <v>128</v>
      </c>
      <c r="D87" s="436"/>
      <c r="E87" s="436"/>
      <c r="F87" s="436"/>
      <c r="G87" s="29"/>
      <c r="H87" s="58">
        <f>(((E87*(1+Parâmetros!B11)*(1+Parâmetros!C11)*(1+Parâmetros!D11))+(F87*(1+Parâmetros!C11)*(1+Parâmetros!D11)+(G87*(1+Parâmetros!D11))))/3)*(1+Parâmetros!E11)*(1+Parâmetros!E12)</f>
        <v>0</v>
      </c>
      <c r="I87" s="58">
        <f>H87*(1+Parâmetros!F11)*(1+Parâmetros!F12)</f>
        <v>0</v>
      </c>
      <c r="J87" s="58">
        <f>I87*(1+Parâmetros!G11)*(1+Parâmetros!G12)</f>
        <v>0</v>
      </c>
    </row>
    <row r="88" spans="1:256" customFormat="1" ht="12.75" x14ac:dyDescent="0.2">
      <c r="A88" s="56" t="s">
        <v>180</v>
      </c>
      <c r="B88" s="158">
        <v>24410000</v>
      </c>
      <c r="C88" s="57" t="s">
        <v>130</v>
      </c>
      <c r="D88" s="436"/>
      <c r="E88" s="436"/>
      <c r="F88" s="436"/>
      <c r="G88" s="29"/>
      <c r="H88" s="58">
        <f>(((E88*(1+Parâmetros!B11)*(1+Parâmetros!C11)*(1+Parâmetros!D11))+(F88*(1+Parâmetros!C11)*(1+Parâmetros!D11)+(G88*(1+Parâmetros!D11))))/3)*(1+Parâmetros!E11)*(1+Parâmetros!E12)</f>
        <v>0</v>
      </c>
      <c r="I88" s="58">
        <f>H88*(1+Parâmetros!F11)*(1+Parâmetros!F12)</f>
        <v>0</v>
      </c>
      <c r="J88" s="58">
        <f>I88*(1+Parâmetros!G11)*(1+Parâmetros!G12)</f>
        <v>0</v>
      </c>
    </row>
    <row r="89" spans="1:256" customFormat="1" ht="12.75" x14ac:dyDescent="0.2">
      <c r="A89" s="56" t="s">
        <v>181</v>
      </c>
      <c r="B89" s="158">
        <v>24510100</v>
      </c>
      <c r="C89" s="57" t="s">
        <v>182</v>
      </c>
      <c r="D89" s="436"/>
      <c r="E89" s="436"/>
      <c r="F89" s="436"/>
      <c r="G89" s="29"/>
      <c r="H89" s="58">
        <f>(((E89*(1+Parâmetros!B11)*(1+Parâmetros!C11)*(1+Parâmetros!D11))+(F89*(1+Parâmetros!C11)*(1+Parâmetros!D11)+(G89*(1+Parâmetros!D11))))/3)*(1+Parâmetros!E11)*(1+Parâmetros!E12)</f>
        <v>0</v>
      </c>
      <c r="I89" s="58">
        <f>H89:H90*(1+Parâmetros!F11)*(1+Parâmetros!F12)</f>
        <v>0</v>
      </c>
      <c r="J89" s="58">
        <f>I89:I90*(1+Parâmetros!G11)*(1+Parâmetros!G12)</f>
        <v>0</v>
      </c>
    </row>
    <row r="90" spans="1:256" customFormat="1" ht="12.75" x14ac:dyDescent="0.2">
      <c r="A90" s="56" t="s">
        <v>183</v>
      </c>
      <c r="B90" s="158">
        <v>24610000</v>
      </c>
      <c r="C90" s="57" t="s">
        <v>134</v>
      </c>
      <c r="D90" s="436"/>
      <c r="E90" s="436"/>
      <c r="F90" s="436"/>
      <c r="G90" s="29"/>
      <c r="H90" s="58">
        <f>(((E90*(1+Parâmetros!B11)*(1+Parâmetros!C11)*(1+Parâmetros!D11))+(F90*(1+Parâmetros!C11)*(1+Parâmetros!D11)+(G90*(1+Parâmetros!D11))))/3)*(1+Parâmetros!E11)*(1+Parâmetros!E12)</f>
        <v>0</v>
      </c>
      <c r="I90" s="58">
        <f>H90*(1+Parâmetros!F11)*(1+Parâmetros!F12)</f>
        <v>0</v>
      </c>
      <c r="J90" s="58">
        <f>I90*(1+Parâmetros!G11)*(1+Parâmetros!G12)</f>
        <v>0</v>
      </c>
    </row>
    <row r="91" spans="1:256" customFormat="1" ht="12.75" x14ac:dyDescent="0.2">
      <c r="A91" s="56" t="s">
        <v>184</v>
      </c>
      <c r="B91" s="158">
        <v>24910000</v>
      </c>
      <c r="C91" s="57" t="s">
        <v>136</v>
      </c>
      <c r="D91" s="436"/>
      <c r="E91" s="436"/>
      <c r="F91" s="436"/>
      <c r="G91" s="29"/>
      <c r="H91" s="58">
        <f>(((E91*(1+Parâmetros!B11)*(1+Parâmetros!C11)*(1+Parâmetros!D11))+(F91*(1+Parâmetros!C11)*(1+Parâmetros!D11)+(G91*(1+Parâmetros!D11))))/3)*(1+Parâmetros!E11)*(1+Parâmetros!E12)</f>
        <v>0</v>
      </c>
      <c r="I91" s="58">
        <f>H91*(1+Parâmetros!F11)*(1+Parâmetros!F12)</f>
        <v>0</v>
      </c>
      <c r="J91" s="58">
        <f>I91*(1+Parâmetros!G11)*(1+Parâmetros!G12)</f>
        <v>0</v>
      </c>
    </row>
    <row r="92" spans="1:256" s="5" customFormat="1" ht="12.75" x14ac:dyDescent="0.2">
      <c r="A92" s="53" t="s">
        <v>185</v>
      </c>
      <c r="B92" s="158">
        <v>29000000</v>
      </c>
      <c r="C92" s="54" t="s">
        <v>186</v>
      </c>
      <c r="D92" s="55">
        <f t="shared" ref="D92:J92" si="17">D93+D94</f>
        <v>56.45</v>
      </c>
      <c r="E92" s="55">
        <f t="shared" si="17"/>
        <v>11111.31</v>
      </c>
      <c r="F92" s="55">
        <f t="shared" si="17"/>
        <v>88783.48</v>
      </c>
      <c r="G92" s="55">
        <f t="shared" si="17"/>
        <v>66092.86</v>
      </c>
      <c r="H92" s="55">
        <f t="shared" si="17"/>
        <v>62536.669354969905</v>
      </c>
      <c r="I92" s="55">
        <f t="shared" si="17"/>
        <v>65038.136129168706</v>
      </c>
      <c r="J92" s="55">
        <f t="shared" si="17"/>
        <v>67639.661574335463</v>
      </c>
    </row>
    <row r="93" spans="1:256" customFormat="1" ht="12.75" x14ac:dyDescent="0.2">
      <c r="A93" s="56" t="s">
        <v>187</v>
      </c>
      <c r="B93" s="158">
        <v>29999900</v>
      </c>
      <c r="C93" s="59" t="s">
        <v>186</v>
      </c>
      <c r="D93" s="29"/>
      <c r="E93" s="29"/>
      <c r="F93" s="29"/>
      <c r="G93" s="29"/>
      <c r="H93" s="58">
        <f>(((E93*(1+Parâmetros!B11)*(1+Parâmetros!C11)*(1+Parâmetros!D11))+(F93*(1+Parâmetros!C11)*(1+Parâmetros!D11)+(G93*(1+Parâmetros!D11))))/3)*(1+Parâmetros!E11)</f>
        <v>0</v>
      </c>
      <c r="I93" s="58">
        <f>H93*(1+Parâmetros!F11)</f>
        <v>0</v>
      </c>
      <c r="J93" s="58">
        <f>I93*(1+Parâmetros!G11)</f>
        <v>0</v>
      </c>
    </row>
    <row r="94" spans="1:256" customFormat="1" ht="12.75" x14ac:dyDescent="0.2">
      <c r="A94" s="56" t="s">
        <v>188</v>
      </c>
      <c r="B94" s="158">
        <v>29999900</v>
      </c>
      <c r="C94" s="59" t="s">
        <v>189</v>
      </c>
      <c r="D94" s="436">
        <v>56.45</v>
      </c>
      <c r="E94" s="436">
        <v>11111.31</v>
      </c>
      <c r="F94" s="436">
        <v>88783.48</v>
      </c>
      <c r="G94" s="29">
        <f>(33046.43/6)*12</f>
        <v>66092.86</v>
      </c>
      <c r="H94" s="58">
        <f>(((E94*(1+Parâmetros!B11)*(1+Parâmetros!C11)*(1+Parâmetros!D11))+(F94*(1+Parâmetros!C11)*(1+Parâmetros!D11)+(G94*(1+Parâmetros!D11))))/3)*(1+Parâmetros!E11)</f>
        <v>62536.669354969905</v>
      </c>
      <c r="I94" s="58">
        <f>H94*(1+Parâmetros!F11)</f>
        <v>65038.136129168706</v>
      </c>
      <c r="J94" s="58">
        <f>I94*(1+Parâmetros!G11)</f>
        <v>67639.661574335463</v>
      </c>
    </row>
    <row r="95" spans="1:256" s="32" customFormat="1" ht="18" x14ac:dyDescent="0.25">
      <c r="A95" s="84" t="s">
        <v>190</v>
      </c>
      <c r="B95" s="157">
        <v>70000000</v>
      </c>
      <c r="C95" s="54" t="s">
        <v>191</v>
      </c>
      <c r="D95" s="55">
        <f t="shared" ref="D95:J95" si="18">D96+D97</f>
        <v>0</v>
      </c>
      <c r="E95" s="55">
        <f t="shared" si="18"/>
        <v>0</v>
      </c>
      <c r="F95" s="55">
        <f t="shared" si="18"/>
        <v>0</v>
      </c>
      <c r="G95" s="55">
        <f t="shared" si="18"/>
        <v>0</v>
      </c>
      <c r="H95" s="55">
        <f t="shared" si="18"/>
        <v>0</v>
      </c>
      <c r="I95" s="55">
        <f t="shared" si="18"/>
        <v>0</v>
      </c>
      <c r="J95" s="55">
        <f t="shared" si="18"/>
        <v>0</v>
      </c>
      <c r="L95" s="452"/>
    </row>
    <row r="96" spans="1:256" s="32" customFormat="1" ht="18" x14ac:dyDescent="0.25">
      <c r="A96" s="60"/>
      <c r="B96" s="157">
        <v>70000000</v>
      </c>
      <c r="C96" s="57" t="s">
        <v>192</v>
      </c>
      <c r="D96" s="29"/>
      <c r="E96" s="29"/>
      <c r="F96" s="29"/>
      <c r="G96" s="29"/>
      <c r="H96" s="55">
        <f>(((E96*(1+Parâmetros!B11)*(1+Parâmetros!C11)*(1+Parâmetros!D11))+(F96*(1+Parâmetros!C11)*(1+Parâmetros!D11)+(G96*(1+Parâmetros!D11))))/3)*(1+Parâmetros!E11)</f>
        <v>0</v>
      </c>
      <c r="I96" s="55">
        <f>H96*(1+Parâmetros!F11)</f>
        <v>0</v>
      </c>
      <c r="J96" s="55">
        <f>I96*(1+Parâmetros!G11)</f>
        <v>0</v>
      </c>
      <c r="IV96" s="29">
        <v>100</v>
      </c>
    </row>
    <row r="97" spans="1:178" s="32" customFormat="1" ht="18" x14ac:dyDescent="0.25">
      <c r="A97" s="60"/>
      <c r="B97" s="157">
        <v>70000000</v>
      </c>
      <c r="C97" s="57" t="s">
        <v>193</v>
      </c>
      <c r="D97" s="29"/>
      <c r="E97" s="29"/>
      <c r="F97" s="29"/>
      <c r="G97" s="29"/>
      <c r="H97" s="55">
        <f>(((E97*(1+Parâmetros!B11)*(1+Parâmetros!C11)*(1+Parâmetros!D11))+(F97*(1+Parâmetros!C11)*(1+Parâmetros!D11)+(G97*(1+Parâmetros!D11))))/3)*(1+Parâmetros!E11)</f>
        <v>0</v>
      </c>
      <c r="I97" s="55">
        <f>H97*(1+Parâmetros!F11)</f>
        <v>0</v>
      </c>
      <c r="J97" s="55">
        <f>I97*(1+Parâmetros!G11)</f>
        <v>0</v>
      </c>
    </row>
    <row r="98" spans="1:178" s="32" customFormat="1" ht="18" x14ac:dyDescent="0.25">
      <c r="A98" s="53" t="s">
        <v>194</v>
      </c>
      <c r="B98" s="158">
        <v>80000000</v>
      </c>
      <c r="C98" s="54" t="s">
        <v>195</v>
      </c>
      <c r="D98" s="55">
        <f t="shared" ref="D98:J98" si="19">D99+D100</f>
        <v>0</v>
      </c>
      <c r="E98" s="55">
        <f t="shared" si="19"/>
        <v>0</v>
      </c>
      <c r="F98" s="55">
        <f t="shared" si="19"/>
        <v>0</v>
      </c>
      <c r="G98" s="55">
        <f t="shared" si="19"/>
        <v>0</v>
      </c>
      <c r="H98" s="55">
        <f t="shared" si="19"/>
        <v>0</v>
      </c>
      <c r="I98" s="55">
        <f t="shared" si="19"/>
        <v>0</v>
      </c>
      <c r="J98" s="55">
        <f t="shared" si="19"/>
        <v>0</v>
      </c>
    </row>
    <row r="99" spans="1:178" s="32" customFormat="1" ht="18" x14ac:dyDescent="0.25">
      <c r="A99" s="56"/>
      <c r="B99" s="158">
        <v>80000000</v>
      </c>
      <c r="C99" s="57" t="s">
        <v>196</v>
      </c>
      <c r="D99" s="29"/>
      <c r="E99" s="29"/>
      <c r="F99" s="29"/>
      <c r="G99" s="29"/>
      <c r="H99" s="58">
        <f>(((E99*(1+Parâmetros!B11)*(1+Parâmetros!C11)*(1+Parâmetros!D11))+(F99*(1+Parâmetros!C11)*(1+Parâmetros!D11)+(G99*(1+Parâmetros!D11))))/3)*(1+Parâmetros!E11)</f>
        <v>0</v>
      </c>
      <c r="I99" s="58">
        <f>H99*(1+Parâmetros!F11)</f>
        <v>0</v>
      </c>
      <c r="J99" s="58">
        <f>I99*(1+Parâmetros!G11)</f>
        <v>0</v>
      </c>
    </row>
    <row r="100" spans="1:178" s="32" customFormat="1" ht="18" x14ac:dyDescent="0.25">
      <c r="A100" s="56"/>
      <c r="B100" s="158">
        <v>80000000</v>
      </c>
      <c r="C100" s="57" t="s">
        <v>197</v>
      </c>
      <c r="D100" s="29"/>
      <c r="E100" s="29"/>
      <c r="F100" s="29"/>
      <c r="G100" s="29"/>
      <c r="H100" s="58">
        <f>(((E100*(1+Parâmetros!B11)*(1+Parâmetros!C11)*(1+Parâmetros!D11))+(F100*(1+Parâmetros!C11)*(1+Parâmetros!D11)+(G100*(1+Parâmetros!D11))))/3)*(1+Parâmetros!E11)</f>
        <v>0</v>
      </c>
      <c r="I100" s="58">
        <f>H100*(1+Parâmetros!F11)</f>
        <v>0</v>
      </c>
      <c r="J100" s="58">
        <f>I100*(1+Parâmetros!G11)</f>
        <v>0</v>
      </c>
    </row>
    <row r="101" spans="1:178" s="8" customFormat="1" ht="30.75" customHeight="1" x14ac:dyDescent="0.25">
      <c r="A101" s="53" t="s">
        <v>198</v>
      </c>
      <c r="B101" s="158" t="s">
        <v>199</v>
      </c>
      <c r="C101" s="54" t="s">
        <v>200</v>
      </c>
      <c r="D101" s="165">
        <f t="shared" ref="D101:J101" si="20">D102+D103+D104+D105</f>
        <v>-2743102.68</v>
      </c>
      <c r="E101" s="165">
        <f t="shared" si="20"/>
        <v>-3523743.5399999996</v>
      </c>
      <c r="F101" s="165">
        <f t="shared" si="20"/>
        <v>-4158794.3</v>
      </c>
      <c r="G101" s="165">
        <f t="shared" si="20"/>
        <v>-4603953.3999999994</v>
      </c>
      <c r="H101" s="165">
        <f t="shared" si="20"/>
        <v>-4426992.2199377185</v>
      </c>
      <c r="I101" s="165">
        <f t="shared" si="20"/>
        <v>-5049045.1096803844</v>
      </c>
      <c r="J101" s="165">
        <f t="shared" si="20"/>
        <v>-5607873.9866421055</v>
      </c>
    </row>
    <row r="102" spans="1:178" customFormat="1" ht="25.5" x14ac:dyDescent="0.2">
      <c r="A102" s="56" t="s">
        <v>201</v>
      </c>
      <c r="B102" s="158" t="s">
        <v>202</v>
      </c>
      <c r="C102" s="57" t="s">
        <v>203</v>
      </c>
      <c r="D102" s="436">
        <f>-49630.25-563.27</f>
        <v>-50193.52</v>
      </c>
      <c r="E102" s="436">
        <f>-53061.03</f>
        <v>-53061.03</v>
      </c>
      <c r="F102" s="438">
        <f>-30152.6+96.43+452.31</f>
        <v>-29603.859999999997</v>
      </c>
      <c r="G102" s="166">
        <f>-(1694.67/6)*12</f>
        <v>-3389.34</v>
      </c>
      <c r="H102" s="167">
        <f>(((E102*(1+Parâmetros!B11)*(1+Parâmetros!C11)*(1+Parâmetros!D11))+(F102*(1+Parâmetros!C11)*(1+Parâmetros!D11)+(G102*(1+Parâmetros!D11))))/3)*(1+Parâmetros!E11)</f>
        <v>-34119.595011395133</v>
      </c>
      <c r="I102" s="167">
        <f>H102*(1+Parâmetros!F11)</f>
        <v>-35484.37881185094</v>
      </c>
      <c r="J102" s="167">
        <f>I102*(1+Parâmetros!G11)</f>
        <v>-36903.753964324977</v>
      </c>
    </row>
    <row r="103" spans="1:178" customFormat="1" ht="12.75" x14ac:dyDescent="0.2">
      <c r="A103" s="56" t="s">
        <v>204</v>
      </c>
      <c r="B103" s="158" t="s">
        <v>205</v>
      </c>
      <c r="C103" s="57" t="s">
        <v>206</v>
      </c>
      <c r="D103" s="165">
        <f>-2692909.16</f>
        <v>-2692909.16</v>
      </c>
      <c r="E103" s="165">
        <f>-3470682.51</f>
        <v>-3470682.51</v>
      </c>
      <c r="F103" s="165">
        <f>-4125180.5</f>
        <v>-4125180.5</v>
      </c>
      <c r="G103" s="165">
        <f>-(2298989.38/6)*12</f>
        <v>-4597978.76</v>
      </c>
      <c r="H103" s="165">
        <f t="shared" ref="H103:J103" si="21">-((H39+H42+H47+H51+H52+H53)*0.2)</f>
        <v>-4390396.767618617</v>
      </c>
      <c r="I103" s="165">
        <f t="shared" si="21"/>
        <v>-5010985.8392685195</v>
      </c>
      <c r="J103" s="165">
        <f t="shared" si="21"/>
        <v>-5568292.3454137659</v>
      </c>
    </row>
    <row r="104" spans="1:178" customFormat="1" ht="12.75" x14ac:dyDescent="0.2">
      <c r="A104" s="56" t="s">
        <v>207</v>
      </c>
      <c r="B104" s="158" t="s">
        <v>208</v>
      </c>
      <c r="C104" s="57" t="s">
        <v>209</v>
      </c>
      <c r="D104" s="436"/>
      <c r="E104" s="436"/>
      <c r="F104" s="438">
        <f>-2851.51+60.95-1219.38</f>
        <v>-4009.9400000000005</v>
      </c>
      <c r="G104" s="166">
        <f>-((1281.5+11.15)/6)*12</f>
        <v>-2585.3000000000002</v>
      </c>
      <c r="H104" s="167">
        <f>(((E104*(1+Parâmetros!B11)*(1+Parâmetros!C11)*(1+Parâmetros!D11))+(F104*(1+Parâmetros!C11)*(1+Parâmetros!D11)+(G104*(1+Parâmetros!D11))))/3)*(1+Parâmetros!E11)</f>
        <v>-2475.8573077056003</v>
      </c>
      <c r="I104" s="167">
        <f>H104*(1+Parâmetros!F11)</f>
        <v>-2574.8916000138242</v>
      </c>
      <c r="J104" s="167">
        <f>I104*(1+Parâmetros!G11)</f>
        <v>-2677.8872640143773</v>
      </c>
    </row>
    <row r="105" spans="1:178" customFormat="1" ht="12.75" x14ac:dyDescent="0.2">
      <c r="A105" s="56" t="s">
        <v>210</v>
      </c>
      <c r="B105" s="158" t="s">
        <v>211</v>
      </c>
      <c r="C105" s="57" t="s">
        <v>212</v>
      </c>
      <c r="D105" s="438"/>
      <c r="E105" s="438"/>
      <c r="F105" s="438"/>
      <c r="G105" s="166"/>
      <c r="H105" s="167">
        <f>(((E105*(1+Parâmetros!B11)*(1+Parâmetros!C11)*(1+Parâmetros!D11))+(F105*(1+Parâmetros!C11)*(1+Parâmetros!D11)+(G105*(1+Parâmetros!D11))))/3)*(1+Parâmetros!E11)</f>
        <v>0</v>
      </c>
      <c r="I105" s="167">
        <f>H105*(1+Parâmetros!F11)</f>
        <v>0</v>
      </c>
      <c r="J105" s="167">
        <f>I105*(1+Parâmetros!G11)</f>
        <v>0</v>
      </c>
    </row>
    <row r="106" spans="1:178" customFormat="1" ht="12.75" x14ac:dyDescent="0.2">
      <c r="A106" s="63"/>
      <c r="B106" s="138"/>
      <c r="C106" s="64"/>
      <c r="D106" s="61"/>
      <c r="E106" s="61"/>
      <c r="F106" s="61"/>
      <c r="G106" s="61"/>
      <c r="H106" s="58"/>
      <c r="I106" s="58"/>
      <c r="J106" s="58"/>
    </row>
    <row r="107" spans="1:178" s="7" customFormat="1" ht="25.5" customHeight="1" x14ac:dyDescent="0.25">
      <c r="A107" s="65"/>
      <c r="B107" s="144"/>
      <c r="C107" s="66" t="s">
        <v>213</v>
      </c>
      <c r="D107" s="62">
        <f t="shared" ref="D107:J107" si="22">D8+D76+D95+D98+D101</f>
        <v>15955974.34</v>
      </c>
      <c r="E107" s="62">
        <f t="shared" si="22"/>
        <v>20703377.430000003</v>
      </c>
      <c r="F107" s="62">
        <f t="shared" si="22"/>
        <v>26905103.16</v>
      </c>
      <c r="G107" s="62">
        <f t="shared" si="22"/>
        <v>27572504.769166667</v>
      </c>
      <c r="H107" s="62">
        <f t="shared" si="22"/>
        <v>28373000.003743801</v>
      </c>
      <c r="I107" s="62">
        <f t="shared" si="22"/>
        <v>32620624.071448021</v>
      </c>
      <c r="J107" s="62">
        <f t="shared" si="22"/>
        <v>36456696.013355322</v>
      </c>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39"/>
      <c r="BK107" s="39"/>
      <c r="BL107" s="39"/>
      <c r="BM107" s="39"/>
      <c r="BN107" s="39"/>
      <c r="BO107" s="39"/>
      <c r="BP107" s="39"/>
      <c r="BQ107" s="39"/>
      <c r="BR107" s="39"/>
      <c r="BS107" s="39"/>
      <c r="BT107" s="39"/>
      <c r="BU107" s="39"/>
      <c r="BV107" s="39"/>
      <c r="BW107" s="39"/>
      <c r="BX107" s="39"/>
      <c r="BY107" s="39"/>
      <c r="BZ107" s="39"/>
      <c r="CA107" s="39"/>
      <c r="CB107" s="39"/>
      <c r="CC107" s="39"/>
      <c r="CD107" s="39"/>
      <c r="CE107" s="39"/>
      <c r="CF107" s="39"/>
      <c r="CG107" s="39"/>
      <c r="CH107" s="39"/>
      <c r="CI107" s="39"/>
      <c r="CJ107" s="39"/>
      <c r="CK107" s="39"/>
      <c r="CL107" s="39"/>
      <c r="CM107" s="39"/>
      <c r="CN107" s="39"/>
      <c r="CO107" s="39"/>
      <c r="CP107" s="39"/>
      <c r="CQ107" s="39"/>
      <c r="CR107" s="39"/>
      <c r="CS107" s="39"/>
      <c r="CT107" s="39"/>
      <c r="CU107" s="39"/>
      <c r="CV107" s="39"/>
      <c r="CW107" s="39"/>
      <c r="CX107" s="39"/>
      <c r="CY107" s="39"/>
      <c r="CZ107" s="39"/>
      <c r="DA107" s="39"/>
      <c r="DB107" s="39"/>
      <c r="DC107" s="39"/>
      <c r="DD107" s="39"/>
      <c r="DE107" s="39"/>
      <c r="DF107" s="39"/>
      <c r="DG107" s="39"/>
      <c r="DH107" s="39"/>
      <c r="DI107" s="39"/>
      <c r="DJ107" s="39"/>
      <c r="DK107" s="39"/>
      <c r="DL107" s="39"/>
      <c r="DM107" s="39"/>
      <c r="DN107" s="39"/>
      <c r="DO107" s="39"/>
      <c r="DP107" s="39"/>
      <c r="DQ107" s="39"/>
      <c r="DR107" s="39"/>
      <c r="DS107" s="39"/>
      <c r="DT107" s="39"/>
      <c r="DU107" s="39"/>
      <c r="DV107" s="39"/>
      <c r="DW107" s="39"/>
      <c r="DX107" s="39"/>
      <c r="DY107" s="39"/>
      <c r="DZ107" s="39"/>
      <c r="EA107" s="39"/>
      <c r="EB107" s="39"/>
      <c r="EC107" s="39"/>
      <c r="ED107" s="39"/>
      <c r="EE107" s="39"/>
      <c r="EF107" s="39"/>
      <c r="EG107" s="39"/>
      <c r="EH107" s="39"/>
      <c r="EI107" s="39"/>
      <c r="EJ107" s="39"/>
      <c r="EK107" s="39"/>
      <c r="EL107" s="39"/>
      <c r="EM107" s="39"/>
      <c r="EN107" s="39"/>
      <c r="EO107" s="39"/>
      <c r="EP107" s="39"/>
      <c r="EQ107" s="39"/>
      <c r="ER107" s="39"/>
      <c r="ES107" s="39"/>
      <c r="ET107" s="39"/>
      <c r="EU107" s="39"/>
      <c r="EV107" s="39"/>
      <c r="EW107" s="39"/>
      <c r="EX107" s="39"/>
      <c r="EY107" s="39"/>
      <c r="EZ107" s="39"/>
      <c r="FA107" s="39"/>
      <c r="FB107" s="39"/>
      <c r="FC107" s="39"/>
      <c r="FD107" s="39"/>
      <c r="FE107" s="39"/>
      <c r="FF107" s="39"/>
      <c r="FG107" s="39"/>
      <c r="FH107" s="39"/>
      <c r="FI107" s="39"/>
      <c r="FJ107" s="39"/>
      <c r="FK107" s="39"/>
      <c r="FL107" s="39"/>
      <c r="FM107" s="39"/>
      <c r="FN107" s="39"/>
      <c r="FO107" s="39"/>
      <c r="FP107" s="39"/>
      <c r="FQ107" s="39"/>
      <c r="FR107" s="39"/>
      <c r="FS107" s="39"/>
      <c r="FT107" s="39"/>
      <c r="FU107" s="39"/>
      <c r="FV107" s="39"/>
    </row>
    <row r="108" spans="1:178" customFormat="1" ht="12.75" x14ac:dyDescent="0.2">
      <c r="A108" s="9"/>
      <c r="B108" s="145"/>
      <c r="C108" s="9"/>
      <c r="D108" s="422"/>
      <c r="E108" s="422"/>
      <c r="F108" s="422"/>
      <c r="G108" s="422"/>
      <c r="H108" s="86"/>
      <c r="I108" s="40"/>
      <c r="J108" s="40"/>
    </row>
    <row r="109" spans="1:178" customFormat="1" x14ac:dyDescent="0.25">
      <c r="A109" s="468" t="str">
        <f>Parâmetros!A7</f>
        <v>Município de :   NOVA PÁDUA</v>
      </c>
      <c r="B109" s="468"/>
      <c r="C109" s="467"/>
      <c r="D109" s="467"/>
      <c r="E109" s="467"/>
      <c r="F109" s="467"/>
      <c r="G109" s="467"/>
      <c r="H109" s="467"/>
      <c r="I109" s="467"/>
      <c r="J109" s="467"/>
    </row>
    <row r="110" spans="1:178" customFormat="1" x14ac:dyDescent="0.25">
      <c r="A110" s="467" t="str">
        <f>Parâmetros!A8</f>
        <v>LEI DE DIRETRIZES ORÇAMENTÁRIAS  PARA 2025</v>
      </c>
      <c r="B110" s="467"/>
      <c r="C110" s="467"/>
      <c r="D110" s="467"/>
      <c r="E110" s="467"/>
      <c r="F110" s="467"/>
      <c r="G110" s="467"/>
      <c r="H110" s="467"/>
      <c r="I110" s="467"/>
      <c r="J110" s="467"/>
    </row>
    <row r="111" spans="1:178" customFormat="1" x14ac:dyDescent="0.25">
      <c r="A111" s="466" t="s">
        <v>214</v>
      </c>
      <c r="B111" s="466"/>
      <c r="C111" s="467"/>
      <c r="D111" s="467"/>
      <c r="E111" s="467"/>
      <c r="F111" s="467"/>
      <c r="G111" s="467"/>
      <c r="H111" s="467"/>
      <c r="I111" s="467"/>
      <c r="J111" s="467"/>
    </row>
    <row r="112" spans="1:178" customFormat="1" ht="15" x14ac:dyDescent="0.2">
      <c r="A112" s="9"/>
      <c r="B112" s="145"/>
      <c r="C112" s="9"/>
      <c r="D112" s="422"/>
      <c r="E112" s="422"/>
      <c r="F112" s="422"/>
      <c r="G112" s="422"/>
      <c r="H112" s="40"/>
      <c r="I112" s="40"/>
      <c r="J112" s="15" t="s">
        <v>16</v>
      </c>
    </row>
    <row r="113" spans="1:178" s="1" customFormat="1" x14ac:dyDescent="0.25">
      <c r="A113" s="476" t="s">
        <v>215</v>
      </c>
      <c r="B113" s="477"/>
      <c r="C113" s="482" t="s">
        <v>216</v>
      </c>
      <c r="D113" s="67" t="s">
        <v>217</v>
      </c>
      <c r="E113" s="67" t="s">
        <v>217</v>
      </c>
      <c r="F113" s="67" t="s">
        <v>217</v>
      </c>
      <c r="G113" s="68" t="s">
        <v>218</v>
      </c>
      <c r="H113" s="68" t="s">
        <v>22</v>
      </c>
      <c r="I113" s="69" t="s">
        <v>22</v>
      </c>
      <c r="J113" s="70" t="s">
        <v>22</v>
      </c>
    </row>
    <row r="114" spans="1:178" s="1" customFormat="1" ht="27.75" customHeight="1" x14ac:dyDescent="0.25">
      <c r="A114" s="478"/>
      <c r="B114" s="479"/>
      <c r="C114" s="483"/>
      <c r="D114" s="423">
        <f>D7</f>
        <v>2021</v>
      </c>
      <c r="E114" s="424">
        <f t="shared" ref="E114:J114" si="23">D114+1</f>
        <v>2022</v>
      </c>
      <c r="F114" s="424">
        <f t="shared" si="23"/>
        <v>2023</v>
      </c>
      <c r="G114" s="424">
        <f t="shared" si="23"/>
        <v>2024</v>
      </c>
      <c r="H114" s="424">
        <f t="shared" si="23"/>
        <v>2025</v>
      </c>
      <c r="I114" s="424">
        <f t="shared" si="23"/>
        <v>2026</v>
      </c>
      <c r="J114" s="424">
        <f t="shared" si="23"/>
        <v>2027</v>
      </c>
    </row>
    <row r="115" spans="1:178" s="34" customFormat="1" x14ac:dyDescent="0.25">
      <c r="A115" s="471" t="s">
        <v>219</v>
      </c>
      <c r="B115" s="472"/>
      <c r="C115" s="425" t="s">
        <v>220</v>
      </c>
      <c r="D115" s="426">
        <f t="shared" ref="D115:J115" si="24">D116+D121+D126</f>
        <v>13989732.59</v>
      </c>
      <c r="E115" s="426">
        <f t="shared" si="24"/>
        <v>15332150.859999999</v>
      </c>
      <c r="F115" s="426">
        <f t="shared" si="24"/>
        <v>21192375.710000001</v>
      </c>
      <c r="G115" s="426">
        <f t="shared" si="24"/>
        <v>23211244.470053762</v>
      </c>
      <c r="H115" s="426">
        <f t="shared" si="24"/>
        <v>24561745.828402527</v>
      </c>
      <c r="I115" s="426">
        <f t="shared" si="24"/>
        <v>29292524.439254284</v>
      </c>
      <c r="J115" s="426">
        <f t="shared" si="24"/>
        <v>33583085.947088212</v>
      </c>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c r="BU115" s="37"/>
      <c r="BV115" s="37"/>
      <c r="BW115" s="37"/>
      <c r="BX115" s="37"/>
      <c r="BY115" s="37"/>
      <c r="BZ115" s="37"/>
      <c r="CA115" s="37"/>
      <c r="CB115" s="37"/>
      <c r="CC115" s="37"/>
      <c r="CD115" s="37"/>
      <c r="CE115" s="37"/>
      <c r="CF115" s="37"/>
      <c r="CG115" s="37"/>
      <c r="CH115" s="37"/>
      <c r="CI115" s="37"/>
      <c r="CJ115" s="37"/>
      <c r="CK115" s="37"/>
      <c r="CL115" s="37"/>
      <c r="CM115" s="37"/>
      <c r="CN115" s="37"/>
      <c r="CO115" s="37"/>
      <c r="CP115" s="37"/>
      <c r="CQ115" s="37"/>
      <c r="CR115" s="37"/>
      <c r="CS115" s="37"/>
      <c r="CT115" s="37"/>
      <c r="CU115" s="37"/>
      <c r="CV115" s="37"/>
      <c r="CW115" s="37"/>
      <c r="CX115" s="37"/>
      <c r="CY115" s="37"/>
      <c r="CZ115" s="37"/>
      <c r="DA115" s="37"/>
      <c r="DB115" s="37"/>
      <c r="DC115" s="37"/>
      <c r="DD115" s="37"/>
      <c r="DE115" s="37"/>
      <c r="DF115" s="37"/>
      <c r="DG115" s="37"/>
      <c r="DH115" s="37"/>
      <c r="DI115" s="37"/>
      <c r="DJ115" s="37"/>
      <c r="DK115" s="37"/>
      <c r="DL115" s="37"/>
      <c r="DM115" s="37"/>
      <c r="DN115" s="37"/>
      <c r="DO115" s="37"/>
      <c r="DP115" s="37"/>
      <c r="DQ115" s="37"/>
      <c r="DR115" s="37"/>
      <c r="DS115" s="37"/>
      <c r="DT115" s="37"/>
      <c r="DU115" s="37"/>
      <c r="DV115" s="37"/>
      <c r="DW115" s="37"/>
      <c r="DX115" s="37"/>
      <c r="DY115" s="37"/>
      <c r="DZ115" s="37"/>
      <c r="EA115" s="37"/>
      <c r="EB115" s="37"/>
      <c r="EC115" s="37"/>
      <c r="ED115" s="37"/>
      <c r="EE115" s="37"/>
      <c r="EF115" s="37"/>
      <c r="EG115" s="37"/>
      <c r="EH115" s="37"/>
      <c r="EI115" s="37"/>
      <c r="EJ115" s="37"/>
      <c r="EK115" s="37"/>
      <c r="EL115" s="37"/>
      <c r="EM115" s="37"/>
      <c r="EN115" s="37"/>
      <c r="EO115" s="37"/>
      <c r="EP115" s="37"/>
      <c r="EQ115" s="37"/>
      <c r="ER115" s="37"/>
      <c r="ES115" s="37"/>
      <c r="ET115" s="37"/>
      <c r="EU115" s="37"/>
      <c r="EV115" s="37"/>
      <c r="EW115" s="37"/>
      <c r="EX115" s="37"/>
      <c r="EY115" s="37"/>
      <c r="EZ115" s="37"/>
      <c r="FA115" s="37"/>
      <c r="FB115" s="37"/>
      <c r="FC115" s="37"/>
      <c r="FD115" s="37"/>
      <c r="FE115" s="37"/>
      <c r="FF115" s="37"/>
      <c r="FG115" s="37"/>
      <c r="FH115" s="37"/>
      <c r="FI115" s="37"/>
      <c r="FJ115" s="37"/>
      <c r="FK115" s="37"/>
      <c r="FL115" s="37"/>
      <c r="FM115" s="37"/>
      <c r="FN115" s="37"/>
      <c r="FO115" s="37"/>
      <c r="FP115" s="37"/>
      <c r="FQ115" s="37"/>
      <c r="FR115" s="37"/>
      <c r="FS115" s="37"/>
      <c r="FT115" s="37"/>
      <c r="FU115" s="37"/>
      <c r="FV115" s="37"/>
    </row>
    <row r="116" spans="1:178" s="34" customFormat="1" x14ac:dyDescent="0.25">
      <c r="A116" s="471" t="s">
        <v>221</v>
      </c>
      <c r="B116" s="472"/>
      <c r="C116" s="425" t="s">
        <v>222</v>
      </c>
      <c r="D116" s="426">
        <f t="shared" ref="D116:J116" si="25">SUM(D117:D120)</f>
        <v>7138452.4199999999</v>
      </c>
      <c r="E116" s="426">
        <f t="shared" si="25"/>
        <v>6678093.3999999994</v>
      </c>
      <c r="F116" s="426">
        <f t="shared" si="25"/>
        <v>9283513.1399999987</v>
      </c>
      <c r="G116" s="426">
        <f t="shared" si="25"/>
        <v>10368547.278387096</v>
      </c>
      <c r="H116" s="426">
        <f t="shared" si="25"/>
        <v>10795021.817712625</v>
      </c>
      <c r="I116" s="426">
        <f t="shared" si="25"/>
        <v>13221282.939826431</v>
      </c>
      <c r="J116" s="426">
        <f t="shared" si="25"/>
        <v>15078124.329785429</v>
      </c>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37"/>
      <c r="BS116" s="37"/>
      <c r="BT116" s="37"/>
      <c r="BU116" s="37"/>
      <c r="BV116" s="37"/>
      <c r="BW116" s="37"/>
      <c r="BX116" s="37"/>
      <c r="BY116" s="37"/>
      <c r="BZ116" s="37"/>
      <c r="CA116" s="37"/>
      <c r="CB116" s="37"/>
      <c r="CC116" s="37"/>
      <c r="CD116" s="37"/>
      <c r="CE116" s="37"/>
      <c r="CF116" s="37"/>
      <c r="CG116" s="37"/>
      <c r="CH116" s="37"/>
      <c r="CI116" s="37"/>
      <c r="CJ116" s="37"/>
      <c r="CK116" s="37"/>
      <c r="CL116" s="37"/>
      <c r="CM116" s="37"/>
      <c r="CN116" s="37"/>
      <c r="CO116" s="37"/>
      <c r="CP116" s="37"/>
      <c r="CQ116" s="37"/>
      <c r="CR116" s="37"/>
      <c r="CS116" s="37"/>
      <c r="CT116" s="37"/>
      <c r="CU116" s="37"/>
      <c r="CV116" s="37"/>
      <c r="CW116" s="37"/>
      <c r="CX116" s="37"/>
      <c r="CY116" s="37"/>
      <c r="CZ116" s="37"/>
      <c r="DA116" s="37"/>
      <c r="DB116" s="37"/>
      <c r="DC116" s="37"/>
      <c r="DD116" s="37"/>
      <c r="DE116" s="37"/>
      <c r="DF116" s="37"/>
      <c r="DG116" s="37"/>
      <c r="DH116" s="37"/>
      <c r="DI116" s="37"/>
      <c r="DJ116" s="37"/>
      <c r="DK116" s="37"/>
      <c r="DL116" s="37"/>
      <c r="DM116" s="37"/>
      <c r="DN116" s="37"/>
      <c r="DO116" s="37"/>
      <c r="DP116" s="37"/>
      <c r="DQ116" s="37"/>
      <c r="DR116" s="37"/>
      <c r="DS116" s="37"/>
      <c r="DT116" s="37"/>
      <c r="DU116" s="37"/>
      <c r="DV116" s="37"/>
      <c r="DW116" s="37"/>
      <c r="DX116" s="37"/>
      <c r="DY116" s="37"/>
      <c r="DZ116" s="37"/>
      <c r="EA116" s="37"/>
      <c r="EB116" s="37"/>
      <c r="EC116" s="37"/>
      <c r="ED116" s="37"/>
      <c r="EE116" s="37"/>
      <c r="EF116" s="37"/>
      <c r="EG116" s="37"/>
      <c r="EH116" s="37"/>
      <c r="EI116" s="37"/>
      <c r="EJ116" s="37"/>
      <c r="EK116" s="37"/>
      <c r="EL116" s="37"/>
      <c r="EM116" s="37"/>
      <c r="EN116" s="37"/>
      <c r="EO116" s="37"/>
      <c r="EP116" s="37"/>
      <c r="EQ116" s="37"/>
      <c r="ER116" s="37"/>
      <c r="ES116" s="37"/>
      <c r="ET116" s="37"/>
      <c r="EU116" s="37"/>
      <c r="EV116" s="37"/>
      <c r="EW116" s="37"/>
      <c r="EX116" s="37"/>
      <c r="EY116" s="37"/>
      <c r="EZ116" s="37"/>
      <c r="FA116" s="37"/>
      <c r="FB116" s="37"/>
      <c r="FC116" s="37"/>
      <c r="FD116" s="37"/>
      <c r="FE116" s="37"/>
      <c r="FF116" s="37"/>
      <c r="FG116" s="37"/>
      <c r="FH116" s="37"/>
      <c r="FI116" s="37"/>
      <c r="FJ116" s="37"/>
      <c r="FK116" s="37"/>
      <c r="FL116" s="37"/>
      <c r="FM116" s="37"/>
      <c r="FN116" s="37"/>
      <c r="FO116" s="37"/>
      <c r="FP116" s="37"/>
      <c r="FQ116" s="37"/>
      <c r="FR116" s="37"/>
      <c r="FS116" s="37"/>
      <c r="FT116" s="37"/>
      <c r="FU116" s="37"/>
      <c r="FV116" s="37"/>
    </row>
    <row r="117" spans="1:178" s="6" customFormat="1" ht="15" x14ac:dyDescent="0.2">
      <c r="A117" s="473" t="s">
        <v>221</v>
      </c>
      <c r="B117" s="472"/>
      <c r="C117" s="153" t="s">
        <v>223</v>
      </c>
      <c r="D117" s="436">
        <v>6763303.3200000003</v>
      </c>
      <c r="E117" s="436">
        <v>6288047.8499999996</v>
      </c>
      <c r="F117" s="436">
        <f>8812206.92-F120</f>
        <v>7531041.3499999996</v>
      </c>
      <c r="G117" s="29">
        <f>((4593488.24/6.2)*13.2)-G120</f>
        <v>8242205.8400000008</v>
      </c>
      <c r="H117" s="58">
        <f>(((E117*(1+Parâmetros!B11)*(1+Parâmetros!C11)*(1+Parâmetros!D11))+(F117*(1+Parâmetros!C11)*(1+Parâmetros!D11)+(G117*(1+Parâmetros!D11))))/3)*(1+Parâmetros!E11)*(1+Parâmetros!E13)*(1+Parâmetros!E18)</f>
        <v>9218629.1385842115</v>
      </c>
      <c r="I117" s="71">
        <f>H117*(1+Parâmetros!F11)*(1+Parâmetros!F13)*(1+Parâmetros!F18)</f>
        <v>11174401.25294365</v>
      </c>
      <c r="J117" s="71">
        <f>I117*(1+Parâmetros!G11)*(1+Parâmetros!G13)*(1+Parâmetros!G18)</f>
        <v>12899681.543929087</v>
      </c>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37"/>
      <c r="BS117" s="37"/>
      <c r="BT117" s="37"/>
      <c r="BU117" s="37"/>
      <c r="BV117" s="37"/>
      <c r="BW117" s="37"/>
      <c r="BX117" s="37"/>
      <c r="BY117" s="37"/>
      <c r="BZ117" s="37"/>
      <c r="CA117" s="37"/>
      <c r="CB117" s="37"/>
      <c r="CC117" s="37"/>
      <c r="CD117" s="37"/>
      <c r="CE117" s="37"/>
      <c r="CF117" s="37"/>
      <c r="CG117" s="37"/>
      <c r="CH117" s="37"/>
      <c r="CI117" s="37"/>
      <c r="CJ117" s="37"/>
      <c r="CK117" s="37"/>
      <c r="CL117" s="37"/>
      <c r="CM117" s="37"/>
      <c r="CN117" s="37"/>
      <c r="CO117" s="37"/>
      <c r="CP117" s="37"/>
      <c r="CQ117" s="37"/>
      <c r="CR117" s="37"/>
      <c r="CS117" s="37"/>
      <c r="CT117" s="37"/>
      <c r="CU117" s="37"/>
      <c r="CV117" s="37"/>
      <c r="CW117" s="37"/>
      <c r="CX117" s="37"/>
      <c r="CY117" s="37"/>
      <c r="CZ117" s="37"/>
      <c r="DA117" s="37"/>
      <c r="DB117" s="37"/>
      <c r="DC117" s="37"/>
      <c r="DD117" s="37"/>
      <c r="DE117" s="37"/>
      <c r="DF117" s="37"/>
      <c r="DG117" s="37"/>
      <c r="DH117" s="37"/>
      <c r="DI117" s="37"/>
      <c r="DJ117" s="37"/>
      <c r="DK117" s="37"/>
      <c r="DL117" s="37"/>
      <c r="DM117" s="37"/>
      <c r="DN117" s="37"/>
      <c r="DO117" s="37"/>
      <c r="DP117" s="37"/>
      <c r="DQ117" s="37"/>
      <c r="DR117" s="37"/>
      <c r="DS117" s="37"/>
      <c r="DT117" s="37"/>
      <c r="DU117" s="37"/>
      <c r="DV117" s="37"/>
      <c r="DW117" s="37"/>
      <c r="DX117" s="37"/>
      <c r="DY117" s="37"/>
      <c r="DZ117" s="37"/>
      <c r="EA117" s="37"/>
      <c r="EB117" s="37"/>
      <c r="EC117" s="37"/>
      <c r="ED117" s="37"/>
      <c r="EE117" s="37"/>
      <c r="EF117" s="37"/>
      <c r="EG117" s="37"/>
      <c r="EH117" s="37"/>
      <c r="EI117" s="37"/>
      <c r="EJ117" s="37"/>
      <c r="EK117" s="37"/>
      <c r="EL117" s="37"/>
      <c r="EM117" s="37"/>
      <c r="EN117" s="37"/>
      <c r="EO117" s="37"/>
      <c r="EP117" s="37"/>
      <c r="EQ117" s="37"/>
      <c r="ER117" s="37"/>
      <c r="ES117" s="37"/>
      <c r="ET117" s="37"/>
      <c r="EU117" s="37"/>
      <c r="EV117" s="37"/>
      <c r="EW117" s="37"/>
      <c r="EX117" s="37"/>
      <c r="EY117" s="37"/>
      <c r="EZ117" s="37"/>
      <c r="FA117" s="37"/>
      <c r="FB117" s="37"/>
      <c r="FC117" s="37"/>
      <c r="FD117" s="37"/>
      <c r="FE117" s="37"/>
      <c r="FF117" s="37"/>
      <c r="FG117" s="37"/>
      <c r="FH117" s="37"/>
      <c r="FI117" s="37"/>
      <c r="FJ117" s="37"/>
      <c r="FK117" s="37"/>
      <c r="FL117" s="37"/>
      <c r="FM117" s="37"/>
      <c r="FN117" s="37"/>
      <c r="FO117" s="37"/>
      <c r="FP117" s="37"/>
      <c r="FQ117" s="37"/>
      <c r="FR117" s="37"/>
      <c r="FS117" s="37"/>
      <c r="FT117" s="37"/>
      <c r="FU117" s="37"/>
      <c r="FV117" s="37"/>
    </row>
    <row r="118" spans="1:178" s="6" customFormat="1" ht="15" x14ac:dyDescent="0.2">
      <c r="A118" s="473" t="s">
        <v>221</v>
      </c>
      <c r="B118" s="472"/>
      <c r="C118" s="153" t="s">
        <v>224</v>
      </c>
      <c r="D118" s="33">
        <v>375149.1</v>
      </c>
      <c r="E118" s="33">
        <v>390045.55</v>
      </c>
      <c r="F118" s="436">
        <v>464911.12</v>
      </c>
      <c r="G118" s="29">
        <f>(236697.59/6.2)*13</f>
        <v>496301.39838709671</v>
      </c>
      <c r="H118" s="58">
        <f>(((E118*(1+Parâmetros!B11)*(1+Parâmetros!C11)*(1+Parâmetros!D11))+(F118*(1+Parâmetros!C11)*(1+Parâmetros!D11)+(G118*(1+Parâmetros!D11))))/3)*(1+Parâmetros!E11)*(1+Parâmetros!E13)*(1+Parâmetros!E19)</f>
        <v>564957.7663284142</v>
      </c>
      <c r="I118" s="71">
        <f>H118*(1+Parâmetros!F11)*(1+Parâmetros!F13)*(1+Parâmetros!F19)</f>
        <v>684816.00431211537</v>
      </c>
      <c r="J118" s="71">
        <f>I118*(1+Parâmetros!G11)*(1+Parâmetros!G13)*(1+Parâmetros!G19)</f>
        <v>790548.69892784266</v>
      </c>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37"/>
      <c r="BS118" s="37"/>
      <c r="BT118" s="37"/>
      <c r="BU118" s="37"/>
      <c r="BV118" s="37"/>
      <c r="BW118" s="37"/>
      <c r="BX118" s="37"/>
      <c r="BY118" s="37"/>
      <c r="BZ118" s="37"/>
      <c r="CA118" s="37"/>
      <c r="CB118" s="37"/>
      <c r="CC118" s="37"/>
      <c r="CD118" s="37"/>
      <c r="CE118" s="37"/>
      <c r="CF118" s="37"/>
      <c r="CG118" s="37"/>
      <c r="CH118" s="37"/>
      <c r="CI118" s="37"/>
      <c r="CJ118" s="37"/>
      <c r="CK118" s="37"/>
      <c r="CL118" s="37"/>
      <c r="CM118" s="37"/>
      <c r="CN118" s="37"/>
      <c r="CO118" s="37"/>
      <c r="CP118" s="37"/>
      <c r="CQ118" s="37"/>
      <c r="CR118" s="37"/>
      <c r="CS118" s="37"/>
      <c r="CT118" s="37"/>
      <c r="CU118" s="37"/>
      <c r="CV118" s="37"/>
      <c r="CW118" s="37"/>
      <c r="CX118" s="37"/>
      <c r="CY118" s="37"/>
      <c r="CZ118" s="37"/>
      <c r="DA118" s="37"/>
      <c r="DB118" s="37"/>
      <c r="DC118" s="37"/>
      <c r="DD118" s="37"/>
      <c r="DE118" s="37"/>
      <c r="DF118" s="37"/>
      <c r="DG118" s="37"/>
      <c r="DH118" s="37"/>
      <c r="DI118" s="37"/>
      <c r="DJ118" s="37"/>
      <c r="DK118" s="37"/>
      <c r="DL118" s="37"/>
      <c r="DM118" s="37"/>
      <c r="DN118" s="37"/>
      <c r="DO118" s="37"/>
      <c r="DP118" s="37"/>
      <c r="DQ118" s="37"/>
      <c r="DR118" s="37"/>
      <c r="DS118" s="37"/>
      <c r="DT118" s="37"/>
      <c r="DU118" s="37"/>
      <c r="DV118" s="37"/>
      <c r="DW118" s="37"/>
      <c r="DX118" s="37"/>
      <c r="DY118" s="37"/>
      <c r="DZ118" s="37"/>
      <c r="EA118" s="37"/>
      <c r="EB118" s="37"/>
      <c r="EC118" s="37"/>
      <c r="ED118" s="37"/>
      <c r="EE118" s="37"/>
      <c r="EF118" s="37"/>
      <c r="EG118" s="37"/>
      <c r="EH118" s="37"/>
      <c r="EI118" s="37"/>
      <c r="EJ118" s="37"/>
      <c r="EK118" s="37"/>
      <c r="EL118" s="37"/>
      <c r="EM118" s="37"/>
      <c r="EN118" s="37"/>
      <c r="EO118" s="37"/>
      <c r="EP118" s="37"/>
      <c r="EQ118" s="37"/>
      <c r="ER118" s="37"/>
      <c r="ES118" s="37"/>
      <c r="ET118" s="37"/>
      <c r="EU118" s="37"/>
      <c r="EV118" s="37"/>
      <c r="EW118" s="37"/>
      <c r="EX118" s="37"/>
      <c r="EY118" s="37"/>
      <c r="EZ118" s="37"/>
      <c r="FA118" s="37"/>
      <c r="FB118" s="37"/>
      <c r="FC118" s="37"/>
      <c r="FD118" s="37"/>
      <c r="FE118" s="37"/>
      <c r="FF118" s="37"/>
      <c r="FG118" s="37"/>
      <c r="FH118" s="37"/>
      <c r="FI118" s="37"/>
      <c r="FJ118" s="37"/>
      <c r="FK118" s="37"/>
      <c r="FL118" s="37"/>
      <c r="FM118" s="37"/>
      <c r="FN118" s="37"/>
      <c r="FO118" s="37"/>
      <c r="FP118" s="37"/>
      <c r="FQ118" s="37"/>
      <c r="FR118" s="37"/>
      <c r="FS118" s="37"/>
      <c r="FT118" s="37"/>
      <c r="FU118" s="37"/>
      <c r="FV118" s="37"/>
    </row>
    <row r="119" spans="1:178" s="6" customFormat="1" ht="14.25" customHeight="1" x14ac:dyDescent="0.25">
      <c r="A119" s="473" t="s">
        <v>221</v>
      </c>
      <c r="B119" s="472"/>
      <c r="C119" s="153" t="s">
        <v>225</v>
      </c>
      <c r="D119" s="33"/>
      <c r="E119" s="33"/>
      <c r="F119" s="33">
        <f>6395.1</f>
        <v>6395.1</v>
      </c>
      <c r="G119" s="33">
        <f>91300.56+1260.68</f>
        <v>92561.239999999991</v>
      </c>
      <c r="H119" s="58">
        <f>((E119+F119+G119)/3)*(1+Parâmetros!E11)</f>
        <v>34304.864533333333</v>
      </c>
      <c r="I119" s="58">
        <f>((F119+G119+H119)/3)*(1+Parâmetros!F11)</f>
        <v>46197.217571555564</v>
      </c>
      <c r="J119" s="58">
        <f>((G119+H119+I119)/3)*(1+Parâmetros!G11)</f>
        <v>59995.284996361486</v>
      </c>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37"/>
      <c r="BR119" s="37"/>
      <c r="BS119" s="37"/>
      <c r="BT119" s="37"/>
      <c r="BU119" s="37"/>
      <c r="BV119" s="37"/>
      <c r="BW119" s="37"/>
      <c r="BX119" s="37"/>
      <c r="BY119" s="37"/>
      <c r="BZ119" s="37"/>
      <c r="CA119" s="37"/>
      <c r="CB119" s="37"/>
      <c r="CC119" s="37"/>
      <c r="CD119" s="37"/>
      <c r="CE119" s="37"/>
      <c r="CF119" s="37"/>
      <c r="CG119" s="37"/>
      <c r="CH119" s="37"/>
      <c r="CI119" s="37"/>
      <c r="CJ119" s="37"/>
      <c r="CK119" s="37"/>
      <c r="CL119" s="37"/>
      <c r="CM119" s="37"/>
      <c r="CN119" s="37"/>
      <c r="CO119" s="37"/>
      <c r="CP119" s="37"/>
      <c r="CQ119" s="37"/>
      <c r="CR119" s="37"/>
      <c r="CS119" s="37"/>
      <c r="CT119" s="37"/>
      <c r="CU119" s="37"/>
      <c r="CV119" s="37"/>
      <c r="CW119" s="37"/>
      <c r="CX119" s="37"/>
      <c r="CY119" s="37"/>
      <c r="CZ119" s="37"/>
      <c r="DA119" s="37"/>
      <c r="DB119" s="37"/>
      <c r="DC119" s="37"/>
      <c r="DD119" s="37"/>
      <c r="DE119" s="37"/>
      <c r="DF119" s="37"/>
      <c r="DG119" s="37"/>
      <c r="DH119" s="37"/>
      <c r="DI119" s="37"/>
      <c r="DJ119" s="37"/>
      <c r="DK119" s="37"/>
      <c r="DL119" s="37"/>
      <c r="DM119" s="37"/>
      <c r="DN119" s="37"/>
      <c r="DO119" s="37"/>
      <c r="DP119" s="37"/>
      <c r="DQ119" s="37"/>
      <c r="DR119" s="37"/>
      <c r="DS119" s="37"/>
      <c r="DT119" s="37"/>
      <c r="DU119" s="37"/>
      <c r="DV119" s="37"/>
      <c r="DW119" s="37"/>
      <c r="DX119" s="37"/>
      <c r="DY119" s="37"/>
      <c r="DZ119" s="37"/>
      <c r="EA119" s="37"/>
      <c r="EB119" s="37"/>
      <c r="EC119" s="37"/>
      <c r="ED119" s="37"/>
      <c r="EE119" s="37"/>
      <c r="EF119" s="37"/>
      <c r="EG119" s="37"/>
      <c r="EH119" s="37"/>
      <c r="EI119" s="37"/>
      <c r="EJ119" s="37"/>
      <c r="EK119" s="37"/>
      <c r="EL119" s="37"/>
      <c r="EM119" s="37"/>
      <c r="EN119" s="37"/>
      <c r="EO119" s="37"/>
      <c r="EP119" s="37"/>
      <c r="EQ119" s="37"/>
      <c r="ER119" s="37"/>
      <c r="ES119" s="37"/>
      <c r="ET119" s="37"/>
      <c r="EU119" s="37"/>
      <c r="EV119" s="37"/>
      <c r="EW119" s="37"/>
      <c r="EX119" s="37"/>
      <c r="EY119" s="37"/>
      <c r="EZ119" s="37"/>
      <c r="FA119" s="37"/>
      <c r="FB119" s="37"/>
      <c r="FC119" s="37"/>
      <c r="FD119" s="37"/>
      <c r="FE119" s="37"/>
      <c r="FF119" s="37"/>
      <c r="FG119" s="37"/>
      <c r="FH119" s="37"/>
      <c r="FI119" s="37"/>
      <c r="FJ119" s="37"/>
      <c r="FK119" s="37"/>
      <c r="FL119" s="37"/>
      <c r="FM119" s="37"/>
      <c r="FN119" s="37"/>
      <c r="FO119" s="37"/>
      <c r="FP119" s="37"/>
      <c r="FQ119" s="37"/>
      <c r="FR119" s="37"/>
      <c r="FS119" s="37"/>
      <c r="FT119" s="37"/>
      <c r="FU119" s="37"/>
      <c r="FV119" s="37"/>
    </row>
    <row r="120" spans="1:178" s="82" customFormat="1" ht="14.25" customHeight="1" x14ac:dyDescent="0.25">
      <c r="A120" s="473" t="s">
        <v>226</v>
      </c>
      <c r="B120" s="472"/>
      <c r="C120" s="153" t="s">
        <v>227</v>
      </c>
      <c r="D120" s="33"/>
      <c r="E120" s="33"/>
      <c r="F120" s="33">
        <v>1281165.57</v>
      </c>
      <c r="G120" s="33">
        <f>((709605.6/6)*13)</f>
        <v>1537478.7999999998</v>
      </c>
      <c r="H120" s="58">
        <f>((E120+F120+G120)/3)*(1+Parâmetros!E11)</f>
        <v>977130.04826666682</v>
      </c>
      <c r="I120" s="71">
        <f>((F120+G120+H120)/3)*(1+Parâmetros!F11)</f>
        <v>1315868.4649991111</v>
      </c>
      <c r="J120" s="71">
        <f>((G120+H120+I120)/3)*(1+Parâmetros!G11)</f>
        <v>1327898.8019321365</v>
      </c>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c r="BI120" s="81"/>
      <c r="BJ120" s="81"/>
      <c r="BK120" s="81"/>
      <c r="BL120" s="81"/>
      <c r="BM120" s="81"/>
      <c r="BN120" s="81"/>
      <c r="BO120" s="81"/>
      <c r="BP120" s="81"/>
      <c r="BQ120" s="81"/>
      <c r="BR120" s="81"/>
      <c r="BS120" s="81"/>
      <c r="BT120" s="81"/>
      <c r="BU120" s="81"/>
      <c r="BV120" s="81"/>
      <c r="BW120" s="81"/>
      <c r="BX120" s="81"/>
      <c r="BY120" s="81"/>
      <c r="BZ120" s="81"/>
      <c r="CA120" s="81"/>
      <c r="CB120" s="81"/>
      <c r="CC120" s="81"/>
      <c r="CD120" s="81"/>
      <c r="CE120" s="81"/>
      <c r="CF120" s="81"/>
      <c r="CG120" s="81"/>
      <c r="CH120" s="81"/>
      <c r="CI120" s="81"/>
      <c r="CJ120" s="81"/>
      <c r="CK120" s="81"/>
      <c r="CL120" s="81"/>
      <c r="CM120" s="81"/>
      <c r="CN120" s="81"/>
      <c r="CO120" s="81"/>
      <c r="CP120" s="81"/>
      <c r="CQ120" s="81"/>
      <c r="CR120" s="81"/>
      <c r="CS120" s="81"/>
      <c r="CT120" s="81"/>
      <c r="CU120" s="81"/>
      <c r="CV120" s="81"/>
      <c r="CW120" s="81"/>
      <c r="CX120" s="81"/>
      <c r="CY120" s="81"/>
      <c r="CZ120" s="81"/>
      <c r="DA120" s="81"/>
      <c r="DB120" s="81"/>
      <c r="DC120" s="81"/>
      <c r="DD120" s="81"/>
      <c r="DE120" s="81"/>
      <c r="DF120" s="81"/>
      <c r="DG120" s="81"/>
      <c r="DH120" s="81"/>
      <c r="DI120" s="81"/>
      <c r="DJ120" s="81"/>
      <c r="DK120" s="81"/>
      <c r="DL120" s="81"/>
      <c r="DM120" s="81"/>
      <c r="DN120" s="81"/>
      <c r="DO120" s="81"/>
      <c r="DP120" s="81"/>
      <c r="DQ120" s="81"/>
      <c r="DR120" s="81"/>
      <c r="DS120" s="81"/>
      <c r="DT120" s="81"/>
      <c r="DU120" s="81"/>
      <c r="DV120" s="81"/>
      <c r="DW120" s="81"/>
      <c r="DX120" s="81"/>
      <c r="DY120" s="81"/>
      <c r="DZ120" s="81"/>
      <c r="EA120" s="81"/>
      <c r="EB120" s="81"/>
      <c r="EC120" s="81"/>
      <c r="ED120" s="81"/>
      <c r="EE120" s="81"/>
      <c r="EF120" s="81"/>
      <c r="EG120" s="81"/>
      <c r="EH120" s="81"/>
      <c r="EI120" s="81"/>
      <c r="EJ120" s="81"/>
      <c r="EK120" s="81"/>
      <c r="EL120" s="81"/>
      <c r="EM120" s="81"/>
      <c r="EN120" s="81"/>
      <c r="EO120" s="81"/>
      <c r="EP120" s="81"/>
      <c r="EQ120" s="81"/>
      <c r="ER120" s="81"/>
      <c r="ES120" s="81"/>
      <c r="ET120" s="81"/>
      <c r="EU120" s="81"/>
      <c r="EV120" s="81"/>
      <c r="EW120" s="81"/>
      <c r="EX120" s="81"/>
      <c r="EY120" s="81"/>
      <c r="EZ120" s="81"/>
      <c r="FA120" s="81"/>
      <c r="FB120" s="81"/>
      <c r="FC120" s="81"/>
      <c r="FD120" s="81"/>
      <c r="FE120" s="81"/>
      <c r="FF120" s="81"/>
      <c r="FG120" s="81"/>
      <c r="FH120" s="81"/>
      <c r="FI120" s="81"/>
      <c r="FJ120" s="81"/>
      <c r="FK120" s="81"/>
      <c r="FL120" s="81"/>
      <c r="FM120" s="81"/>
      <c r="FN120" s="81"/>
      <c r="FO120" s="81"/>
      <c r="FP120" s="81"/>
      <c r="FQ120" s="81"/>
      <c r="FR120" s="81"/>
      <c r="FS120" s="81"/>
      <c r="FT120" s="81"/>
      <c r="FU120" s="81"/>
      <c r="FV120" s="81"/>
    </row>
    <row r="121" spans="1:178" s="35" customFormat="1" x14ac:dyDescent="0.25">
      <c r="A121" s="471" t="s">
        <v>228</v>
      </c>
      <c r="B121" s="472"/>
      <c r="C121" s="425" t="s">
        <v>229</v>
      </c>
      <c r="D121" s="426">
        <f t="shared" ref="D121:J121" si="26">SUM(D122:D125)</f>
        <v>0</v>
      </c>
      <c r="E121" s="426">
        <f t="shared" si="26"/>
        <v>0</v>
      </c>
      <c r="F121" s="426">
        <f t="shared" si="26"/>
        <v>222997.41</v>
      </c>
      <c r="G121" s="426">
        <f t="shared" si="26"/>
        <v>222997.41</v>
      </c>
      <c r="H121" s="426">
        <f t="shared" si="26"/>
        <v>176014.44248295604</v>
      </c>
      <c r="I121" s="426">
        <f t="shared" si="26"/>
        <v>191855.74230642209</v>
      </c>
      <c r="J121" s="426">
        <f t="shared" si="26"/>
        <v>208643.11975823401</v>
      </c>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row>
    <row r="122" spans="1:178" customFormat="1" ht="15" x14ac:dyDescent="0.2">
      <c r="A122" s="473" t="s">
        <v>228</v>
      </c>
      <c r="B122" s="472"/>
      <c r="C122" s="153" t="s">
        <v>230</v>
      </c>
      <c r="D122" s="29"/>
      <c r="E122" s="29"/>
      <c r="F122" s="436">
        <v>222997.41</v>
      </c>
      <c r="G122" s="29">
        <f>F122</f>
        <v>222997.41</v>
      </c>
      <c r="H122" s="58">
        <f>(((E122*(1+Parâmetros!B11)*(1+Parâmetros!C11)*(1+Parâmetros!D11))+(F122*(1+Parâmetros!C11)*(1+Parâmetros!D11)+(G122*(1+Parâmetros!D11))))/3)*(1+Parâmetros!E21)</f>
        <v>176014.44248295604</v>
      </c>
      <c r="I122" s="71">
        <f>H122*(1+Parâmetros!F21)</f>
        <v>191855.74230642209</v>
      </c>
      <c r="J122" s="71">
        <f>I122*(1+Parâmetros!G21)</f>
        <v>208643.11975823401</v>
      </c>
    </row>
    <row r="123" spans="1:178" customFormat="1" ht="15" x14ac:dyDescent="0.2">
      <c r="A123" s="473" t="s">
        <v>228</v>
      </c>
      <c r="B123" s="472"/>
      <c r="C123" s="153" t="s">
        <v>231</v>
      </c>
      <c r="D123" s="29"/>
      <c r="E123" s="29"/>
      <c r="F123" s="29"/>
      <c r="G123" s="29"/>
      <c r="H123" s="58">
        <f>(((E123*(1+Parâmetros!B11)*(1+Parâmetros!C11)*(1+Parâmetros!D11))+(F123*(1+Parâmetros!C11)*(1+Parâmetros!D11)+(G123*(1+Parâmetros!D11))))/3)*(1+Parâmetros!E21)</f>
        <v>0</v>
      </c>
      <c r="I123" s="71">
        <f>H123*(1+Parâmetros!F21)</f>
        <v>0</v>
      </c>
      <c r="J123" s="71">
        <f>I123*(1+Parâmetros!G21)</f>
        <v>0</v>
      </c>
    </row>
    <row r="124" spans="1:178" customFormat="1" x14ac:dyDescent="0.25">
      <c r="A124" s="473" t="s">
        <v>228</v>
      </c>
      <c r="B124" s="472"/>
      <c r="C124" s="153" t="s">
        <v>232</v>
      </c>
      <c r="D124" s="33"/>
      <c r="E124" s="33"/>
      <c r="F124" s="33"/>
      <c r="G124" s="33"/>
      <c r="H124" s="58">
        <f>((E124+F124+G124)/3)*(1+Parâmetros!E11)</f>
        <v>0</v>
      </c>
      <c r="I124" s="58">
        <f>((F124+G124+H124)/3)*(1+Parâmetros!F11)</f>
        <v>0</v>
      </c>
      <c r="J124" s="58">
        <f>((G124+H124+I124)/3)*(1+Parâmetros!G11)</f>
        <v>0</v>
      </c>
    </row>
    <row r="125" spans="1:178" customFormat="1" x14ac:dyDescent="0.25">
      <c r="A125" s="473" t="s">
        <v>233</v>
      </c>
      <c r="B125" s="472"/>
      <c r="C125" s="153" t="s">
        <v>234</v>
      </c>
      <c r="D125" s="33"/>
      <c r="E125" s="33"/>
      <c r="F125" s="33"/>
      <c r="G125" s="33"/>
      <c r="H125" s="58">
        <f>((E125+F125+G125)/3)*(1+Parâmetros!E11)</f>
        <v>0</v>
      </c>
      <c r="I125" s="58">
        <f>((F125+G125+H125)/3)*(1+Parâmetros!F11)</f>
        <v>0</v>
      </c>
      <c r="J125" s="58">
        <f>((G125+H125+I125)/3)*(1+Parâmetros!G11)</f>
        <v>0</v>
      </c>
    </row>
    <row r="126" spans="1:178" s="34" customFormat="1" x14ac:dyDescent="0.25">
      <c r="A126" s="471" t="s">
        <v>235</v>
      </c>
      <c r="B126" s="472"/>
      <c r="C126" s="425" t="s">
        <v>236</v>
      </c>
      <c r="D126" s="426">
        <f t="shared" ref="D126:J126" si="27">SUM(D127:D130)</f>
        <v>6851280.1699999999</v>
      </c>
      <c r="E126" s="426">
        <f t="shared" si="27"/>
        <v>8654057.4600000009</v>
      </c>
      <c r="F126" s="426">
        <f t="shared" si="27"/>
        <v>11685865.16</v>
      </c>
      <c r="G126" s="426">
        <f t="shared" si="27"/>
        <v>12619699.781666666</v>
      </c>
      <c r="H126" s="426">
        <f t="shared" si="27"/>
        <v>13590709.568206944</v>
      </c>
      <c r="I126" s="426">
        <f t="shared" si="27"/>
        <v>15879385.757121431</v>
      </c>
      <c r="J126" s="426">
        <f t="shared" si="27"/>
        <v>18296318.497544549</v>
      </c>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37"/>
      <c r="BD126" s="37"/>
      <c r="BE126" s="37"/>
      <c r="BF126" s="37"/>
      <c r="BG126" s="37"/>
      <c r="BH126" s="37"/>
      <c r="BI126" s="37"/>
      <c r="BJ126" s="37"/>
      <c r="BK126" s="37"/>
      <c r="BL126" s="37"/>
      <c r="BM126" s="37"/>
      <c r="BN126" s="37"/>
      <c r="BO126" s="37"/>
      <c r="BP126" s="37"/>
      <c r="BQ126" s="37"/>
      <c r="BR126" s="37"/>
      <c r="BS126" s="37"/>
      <c r="BT126" s="37"/>
      <c r="BU126" s="37"/>
      <c r="BV126" s="37"/>
      <c r="BW126" s="37"/>
      <c r="BX126" s="37"/>
      <c r="BY126" s="37"/>
      <c r="BZ126" s="37"/>
      <c r="CA126" s="37"/>
      <c r="CB126" s="37"/>
      <c r="CC126" s="37"/>
      <c r="CD126" s="37"/>
      <c r="CE126" s="37"/>
      <c r="CF126" s="37"/>
      <c r="CG126" s="37"/>
      <c r="CH126" s="37"/>
      <c r="CI126" s="37"/>
      <c r="CJ126" s="37"/>
      <c r="CK126" s="37"/>
      <c r="CL126" s="37"/>
      <c r="CM126" s="37"/>
      <c r="CN126" s="37"/>
      <c r="CO126" s="37"/>
      <c r="CP126" s="37"/>
      <c r="CQ126" s="37"/>
      <c r="CR126" s="37"/>
      <c r="CS126" s="37"/>
      <c r="CT126" s="37"/>
      <c r="CU126" s="37"/>
      <c r="CV126" s="37"/>
      <c r="CW126" s="37"/>
      <c r="CX126" s="37"/>
      <c r="CY126" s="37"/>
      <c r="CZ126" s="37"/>
      <c r="DA126" s="37"/>
      <c r="DB126" s="37"/>
      <c r="DC126" s="37"/>
      <c r="DD126" s="37"/>
      <c r="DE126" s="37"/>
      <c r="DF126" s="37"/>
      <c r="DG126" s="37"/>
      <c r="DH126" s="37"/>
      <c r="DI126" s="37"/>
      <c r="DJ126" s="37"/>
      <c r="DK126" s="37"/>
      <c r="DL126" s="37"/>
      <c r="DM126" s="37"/>
      <c r="DN126" s="37"/>
      <c r="DO126" s="37"/>
      <c r="DP126" s="37"/>
      <c r="DQ126" s="37"/>
      <c r="DR126" s="37"/>
      <c r="DS126" s="37"/>
      <c r="DT126" s="37"/>
      <c r="DU126" s="37"/>
      <c r="DV126" s="37"/>
      <c r="DW126" s="37"/>
      <c r="DX126" s="37"/>
      <c r="DY126" s="37"/>
      <c r="DZ126" s="37"/>
      <c r="EA126" s="37"/>
      <c r="EB126" s="37"/>
      <c r="EC126" s="37"/>
      <c r="ED126" s="37"/>
      <c r="EE126" s="37"/>
      <c r="EF126" s="37"/>
      <c r="EG126" s="37"/>
      <c r="EH126" s="37"/>
      <c r="EI126" s="37"/>
      <c r="EJ126" s="37"/>
      <c r="EK126" s="37"/>
      <c r="EL126" s="37"/>
      <c r="EM126" s="37"/>
      <c r="EN126" s="37"/>
      <c r="EO126" s="37"/>
      <c r="EP126" s="37"/>
      <c r="EQ126" s="37"/>
      <c r="ER126" s="37"/>
      <c r="ES126" s="37"/>
      <c r="ET126" s="37"/>
      <c r="EU126" s="37"/>
      <c r="EV126" s="37"/>
      <c r="EW126" s="37"/>
      <c r="EX126" s="37"/>
      <c r="EY126" s="37"/>
      <c r="EZ126" s="37"/>
      <c r="FA126" s="37"/>
      <c r="FB126" s="37"/>
      <c r="FC126" s="37"/>
      <c r="FD126" s="37"/>
      <c r="FE126" s="37"/>
      <c r="FF126" s="37"/>
      <c r="FG126" s="37"/>
      <c r="FH126" s="37"/>
      <c r="FI126" s="37"/>
      <c r="FJ126" s="37"/>
      <c r="FK126" s="37"/>
      <c r="FL126" s="37"/>
      <c r="FM126" s="37"/>
      <c r="FN126" s="37"/>
      <c r="FO126" s="37"/>
      <c r="FP126" s="37"/>
      <c r="FQ126" s="37"/>
      <c r="FR126" s="37"/>
      <c r="FS126" s="37"/>
      <c r="FT126" s="37"/>
      <c r="FU126" s="37"/>
      <c r="FV126" s="37"/>
    </row>
    <row r="127" spans="1:178" s="6" customFormat="1" ht="15" x14ac:dyDescent="0.2">
      <c r="A127" s="473" t="s">
        <v>235</v>
      </c>
      <c r="B127" s="472"/>
      <c r="C127" s="153" t="s">
        <v>237</v>
      </c>
      <c r="D127" s="436">
        <v>6613448.8600000003</v>
      </c>
      <c r="E127" s="436">
        <v>8542864.9000000004</v>
      </c>
      <c r="F127" s="436">
        <v>11439327.82</v>
      </c>
      <c r="G127" s="29">
        <f>(5438822.17/6)*13</f>
        <v>11784114.701666666</v>
      </c>
      <c r="H127" s="58">
        <f>(G127*1.05)+328421.32-5928.84</f>
        <v>12695812.916750001</v>
      </c>
      <c r="I127" s="71">
        <f>H127*(1+Parâmetros!F11)*(1+Parâmetros!F14)</f>
        <v>15159707.602126965</v>
      </c>
      <c r="J127" s="71">
        <f>I127*(1+Parâmetros!G11)*(1+Parâmetros!G14)</f>
        <v>17407077.362281859</v>
      </c>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7"/>
      <c r="BP127" s="37"/>
      <c r="BQ127" s="37"/>
      <c r="BR127" s="37"/>
      <c r="BS127" s="37"/>
      <c r="BT127" s="37"/>
      <c r="BU127" s="37"/>
      <c r="BV127" s="37"/>
      <c r="BW127" s="37"/>
      <c r="BX127" s="37"/>
      <c r="BY127" s="37"/>
      <c r="BZ127" s="37"/>
      <c r="CA127" s="37"/>
      <c r="CB127" s="37"/>
      <c r="CC127" s="37"/>
      <c r="CD127" s="37"/>
      <c r="CE127" s="37"/>
      <c r="CF127" s="37"/>
      <c r="CG127" s="37"/>
      <c r="CH127" s="37"/>
      <c r="CI127" s="37"/>
      <c r="CJ127" s="37"/>
      <c r="CK127" s="37"/>
      <c r="CL127" s="37"/>
      <c r="CM127" s="37"/>
      <c r="CN127" s="37"/>
      <c r="CO127" s="37"/>
      <c r="CP127" s="37"/>
      <c r="CQ127" s="37"/>
      <c r="CR127" s="37"/>
      <c r="CS127" s="37"/>
      <c r="CT127" s="37"/>
      <c r="CU127" s="37"/>
      <c r="CV127" s="37"/>
      <c r="CW127" s="37"/>
      <c r="CX127" s="37"/>
      <c r="CY127" s="37"/>
      <c r="CZ127" s="37"/>
      <c r="DA127" s="37"/>
      <c r="DB127" s="37"/>
      <c r="DC127" s="37"/>
      <c r="DD127" s="37"/>
      <c r="DE127" s="37"/>
      <c r="DF127" s="37"/>
      <c r="DG127" s="37"/>
      <c r="DH127" s="37"/>
      <c r="DI127" s="37"/>
      <c r="DJ127" s="37"/>
      <c r="DK127" s="37"/>
      <c r="DL127" s="37"/>
      <c r="DM127" s="37"/>
      <c r="DN127" s="37"/>
      <c r="DO127" s="37"/>
      <c r="DP127" s="37"/>
      <c r="DQ127" s="37"/>
      <c r="DR127" s="37"/>
      <c r="DS127" s="37"/>
      <c r="DT127" s="37"/>
      <c r="DU127" s="37"/>
      <c r="DV127" s="37"/>
      <c r="DW127" s="37"/>
      <c r="DX127" s="37"/>
      <c r="DY127" s="37"/>
      <c r="DZ127" s="37"/>
      <c r="EA127" s="37"/>
      <c r="EB127" s="37"/>
      <c r="EC127" s="37"/>
      <c r="ED127" s="37"/>
      <c r="EE127" s="37"/>
      <c r="EF127" s="37"/>
      <c r="EG127" s="37"/>
      <c r="EH127" s="37"/>
      <c r="EI127" s="37"/>
      <c r="EJ127" s="37"/>
      <c r="EK127" s="37"/>
      <c r="EL127" s="37"/>
      <c r="EM127" s="37"/>
      <c r="EN127" s="37"/>
      <c r="EO127" s="37"/>
      <c r="EP127" s="37"/>
      <c r="EQ127" s="37"/>
      <c r="ER127" s="37"/>
      <c r="ES127" s="37"/>
      <c r="ET127" s="37"/>
      <c r="EU127" s="37"/>
      <c r="EV127" s="37"/>
      <c r="EW127" s="37"/>
      <c r="EX127" s="37"/>
      <c r="EY127" s="37"/>
      <c r="EZ127" s="37"/>
      <c r="FA127" s="37"/>
      <c r="FB127" s="37"/>
      <c r="FC127" s="37"/>
      <c r="FD127" s="37"/>
      <c r="FE127" s="37"/>
      <c r="FF127" s="37"/>
      <c r="FG127" s="37"/>
      <c r="FH127" s="37"/>
      <c r="FI127" s="37"/>
      <c r="FJ127" s="37"/>
      <c r="FK127" s="37"/>
      <c r="FL127" s="37"/>
      <c r="FM127" s="37"/>
      <c r="FN127" s="37"/>
      <c r="FO127" s="37"/>
      <c r="FP127" s="37"/>
      <c r="FQ127" s="37"/>
      <c r="FR127" s="37"/>
      <c r="FS127" s="37"/>
      <c r="FT127" s="37"/>
      <c r="FU127" s="37"/>
      <c r="FV127" s="37"/>
    </row>
    <row r="128" spans="1:178" s="6" customFormat="1" ht="15" x14ac:dyDescent="0.2">
      <c r="A128" s="473" t="s">
        <v>235</v>
      </c>
      <c r="B128" s="472"/>
      <c r="C128" s="153" t="s">
        <v>238</v>
      </c>
      <c r="D128" s="33">
        <v>60162.96</v>
      </c>
      <c r="E128" s="33">
        <v>77098.66</v>
      </c>
      <c r="F128" s="436">
        <v>99034.86</v>
      </c>
      <c r="G128" s="29">
        <f>F128</f>
        <v>99034.86</v>
      </c>
      <c r="H128" s="58">
        <f>(((E128*(1+Parâmetros!B11)*(1+Parâmetros!C11)*(1+Parâmetros!D11))+(F128*(1+Parâmetros!C11)*(1+Parâmetros!D11)+(G128*(1+Parâmetros!D11))))/3)*(1+Parâmetros!E11)*(1+Parâmetros!E14)</f>
        <v>121518.92045694226</v>
      </c>
      <c r="I128" s="71">
        <f>H128*(1+Parâmetros!F11)*(1+Parâmetros!F14)</f>
        <v>145102.27224779804</v>
      </c>
      <c r="J128" s="71">
        <f>I128*(1+Parâmetros!G11)*(1+Parâmetros!G14)</f>
        <v>166613.1395638478</v>
      </c>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c r="BP128" s="37"/>
      <c r="BQ128" s="37"/>
      <c r="BR128" s="37"/>
      <c r="BS128" s="37"/>
      <c r="BT128" s="37"/>
      <c r="BU128" s="37"/>
      <c r="BV128" s="37"/>
      <c r="BW128" s="37"/>
      <c r="BX128" s="37"/>
      <c r="BY128" s="37"/>
      <c r="BZ128" s="37"/>
      <c r="CA128" s="37"/>
      <c r="CB128" s="37"/>
      <c r="CC128" s="37"/>
      <c r="CD128" s="37"/>
      <c r="CE128" s="37"/>
      <c r="CF128" s="37"/>
      <c r="CG128" s="37"/>
      <c r="CH128" s="37"/>
      <c r="CI128" s="37"/>
      <c r="CJ128" s="37"/>
      <c r="CK128" s="37"/>
      <c r="CL128" s="37"/>
      <c r="CM128" s="37"/>
      <c r="CN128" s="37"/>
      <c r="CO128" s="37"/>
      <c r="CP128" s="37"/>
      <c r="CQ128" s="37"/>
      <c r="CR128" s="37"/>
      <c r="CS128" s="37"/>
      <c r="CT128" s="37"/>
      <c r="CU128" s="37"/>
      <c r="CV128" s="37"/>
      <c r="CW128" s="37"/>
      <c r="CX128" s="37"/>
      <c r="CY128" s="37"/>
      <c r="CZ128" s="37"/>
      <c r="DA128" s="37"/>
      <c r="DB128" s="37"/>
      <c r="DC128" s="37"/>
      <c r="DD128" s="37"/>
      <c r="DE128" s="37"/>
      <c r="DF128" s="37"/>
      <c r="DG128" s="37"/>
      <c r="DH128" s="37"/>
      <c r="DI128" s="37"/>
      <c r="DJ128" s="37"/>
      <c r="DK128" s="37"/>
      <c r="DL128" s="37"/>
      <c r="DM128" s="37"/>
      <c r="DN128" s="37"/>
      <c r="DO128" s="37"/>
      <c r="DP128" s="37"/>
      <c r="DQ128" s="37"/>
      <c r="DR128" s="37"/>
      <c r="DS128" s="37"/>
      <c r="DT128" s="37"/>
      <c r="DU128" s="37"/>
      <c r="DV128" s="37"/>
      <c r="DW128" s="37"/>
      <c r="DX128" s="37"/>
      <c r="DY128" s="37"/>
      <c r="DZ128" s="37"/>
      <c r="EA128" s="37"/>
      <c r="EB128" s="37"/>
      <c r="EC128" s="37"/>
      <c r="ED128" s="37"/>
      <c r="EE128" s="37"/>
      <c r="EF128" s="37"/>
      <c r="EG128" s="37"/>
      <c r="EH128" s="37"/>
      <c r="EI128" s="37"/>
      <c r="EJ128" s="37"/>
      <c r="EK128" s="37"/>
      <c r="EL128" s="37"/>
      <c r="EM128" s="37"/>
      <c r="EN128" s="37"/>
      <c r="EO128" s="37"/>
      <c r="EP128" s="37"/>
      <c r="EQ128" s="37"/>
      <c r="ER128" s="37"/>
      <c r="ES128" s="37"/>
      <c r="ET128" s="37"/>
      <c r="EU128" s="37"/>
      <c r="EV128" s="37"/>
      <c r="EW128" s="37"/>
      <c r="EX128" s="37"/>
      <c r="EY128" s="37"/>
      <c r="EZ128" s="37"/>
      <c r="FA128" s="37"/>
      <c r="FB128" s="37"/>
      <c r="FC128" s="37"/>
      <c r="FD128" s="37"/>
      <c r="FE128" s="37"/>
      <c r="FF128" s="37"/>
      <c r="FG128" s="37"/>
      <c r="FH128" s="37"/>
      <c r="FI128" s="37"/>
      <c r="FJ128" s="37"/>
      <c r="FK128" s="37"/>
      <c r="FL128" s="37"/>
      <c r="FM128" s="37"/>
      <c r="FN128" s="37"/>
      <c r="FO128" s="37"/>
      <c r="FP128" s="37"/>
      <c r="FQ128" s="37"/>
      <c r="FR128" s="37"/>
      <c r="FS128" s="37"/>
      <c r="FT128" s="37"/>
      <c r="FU128" s="37"/>
      <c r="FV128" s="37"/>
    </row>
    <row r="129" spans="1:178" s="6" customFormat="1" x14ac:dyDescent="0.25">
      <c r="A129" s="473" t="s">
        <v>235</v>
      </c>
      <c r="B129" s="472"/>
      <c r="C129" s="153" t="s">
        <v>239</v>
      </c>
      <c r="D129" s="33">
        <f>28185.18+149483.17</f>
        <v>177668.35</v>
      </c>
      <c r="E129" s="33">
        <f>8750+186.43+25157.47</f>
        <v>34093.9</v>
      </c>
      <c r="F129" s="33">
        <f>94947.21+52555.27</f>
        <v>147502.48000000001</v>
      </c>
      <c r="G129" s="33">
        <f>185033.93+551516.29</f>
        <v>736550.22</v>
      </c>
      <c r="H129" s="58">
        <f>G129*1.05</f>
        <v>773377.73100000003</v>
      </c>
      <c r="I129" s="58">
        <f>((F129+G129+H129)/3)*(1+Parâmetros!F11)</f>
        <v>574575.88274666667</v>
      </c>
      <c r="J129" s="58">
        <f>((G129+H129+I129)/3)*(1+Parâmetros!G11)</f>
        <v>722627.99569884443</v>
      </c>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DE129" s="37"/>
      <c r="DF129" s="37"/>
      <c r="DG129" s="37"/>
      <c r="DH129" s="37"/>
      <c r="DI129" s="37"/>
      <c r="DJ129" s="37"/>
      <c r="DK129" s="37"/>
      <c r="DL129" s="37"/>
      <c r="DM129" s="37"/>
      <c r="DN129" s="37"/>
      <c r="DO129" s="37"/>
      <c r="DP129" s="37"/>
      <c r="DQ129" s="37"/>
      <c r="DR129" s="37"/>
      <c r="DS129" s="37"/>
      <c r="DT129" s="37"/>
      <c r="DU129" s="37"/>
      <c r="DV129" s="37"/>
      <c r="DW129" s="37"/>
      <c r="DX129" s="37"/>
      <c r="DY129" s="37"/>
      <c r="DZ129" s="37"/>
      <c r="EA129" s="37"/>
      <c r="EB129" s="37"/>
      <c r="EC129" s="37"/>
      <c r="ED129" s="37"/>
      <c r="EE129" s="37"/>
      <c r="EF129" s="37"/>
      <c r="EG129" s="37"/>
      <c r="EH129" s="37"/>
      <c r="EI129" s="37"/>
      <c r="EJ129" s="37"/>
      <c r="EK129" s="37"/>
      <c r="EL129" s="37"/>
      <c r="EM129" s="37"/>
      <c r="EN129" s="37"/>
      <c r="EO129" s="37"/>
      <c r="EP129" s="37"/>
      <c r="EQ129" s="37"/>
      <c r="ER129" s="37"/>
      <c r="ES129" s="37"/>
      <c r="ET129" s="37"/>
      <c r="EU129" s="37"/>
      <c r="EV129" s="37"/>
      <c r="EW129" s="37"/>
      <c r="EX129" s="37"/>
      <c r="EY129" s="37"/>
      <c r="EZ129" s="37"/>
      <c r="FA129" s="37"/>
      <c r="FB129" s="37"/>
      <c r="FC129" s="37"/>
      <c r="FD129" s="37"/>
      <c r="FE129" s="37"/>
      <c r="FF129" s="37"/>
      <c r="FG129" s="37"/>
      <c r="FH129" s="37"/>
      <c r="FI129" s="37"/>
      <c r="FJ129" s="37"/>
      <c r="FK129" s="37"/>
      <c r="FL129" s="37"/>
      <c r="FM129" s="37"/>
      <c r="FN129" s="37"/>
      <c r="FO129" s="37"/>
      <c r="FP129" s="37"/>
      <c r="FQ129" s="37"/>
      <c r="FR129" s="37"/>
      <c r="FS129" s="37"/>
      <c r="FT129" s="37"/>
      <c r="FU129" s="37"/>
      <c r="FV129" s="37"/>
    </row>
    <row r="130" spans="1:178" s="6" customFormat="1" x14ac:dyDescent="0.25">
      <c r="A130" s="473" t="s">
        <v>240</v>
      </c>
      <c r="B130" s="472"/>
      <c r="C130" s="153" t="s">
        <v>241</v>
      </c>
      <c r="D130" s="33"/>
      <c r="E130" s="33"/>
      <c r="F130" s="33"/>
      <c r="G130" s="33"/>
      <c r="H130" s="58">
        <f>((E130+F130+G130)/3)*(1+Parâmetros!E11)</f>
        <v>0</v>
      </c>
      <c r="I130" s="58">
        <f>((F130+G130+H130)/3)*(1+Parâmetros!F11)</f>
        <v>0</v>
      </c>
      <c r="J130" s="58">
        <f>((G130+H130+I130)/3)*(1+Parâmetros!G11)</f>
        <v>0</v>
      </c>
      <c r="K130" s="37"/>
      <c r="L130" s="83" t="s">
        <v>242</v>
      </c>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DE130" s="37"/>
      <c r="DF130" s="37"/>
      <c r="DG130" s="37"/>
      <c r="DH130" s="37"/>
      <c r="DI130" s="37"/>
      <c r="DJ130" s="37"/>
      <c r="DK130" s="37"/>
      <c r="DL130" s="37"/>
      <c r="DM130" s="37"/>
      <c r="DN130" s="37"/>
      <c r="DO130" s="37"/>
      <c r="DP130" s="37"/>
      <c r="DQ130" s="37"/>
      <c r="DR130" s="37"/>
      <c r="DS130" s="37"/>
      <c r="DT130" s="37"/>
      <c r="DU130" s="37"/>
      <c r="DV130" s="37"/>
      <c r="DW130" s="37"/>
      <c r="DX130" s="37"/>
      <c r="DY130" s="37"/>
      <c r="DZ130" s="37"/>
      <c r="EA130" s="37"/>
      <c r="EB130" s="37"/>
      <c r="EC130" s="37"/>
      <c r="ED130" s="37"/>
      <c r="EE130" s="37"/>
      <c r="EF130" s="37"/>
      <c r="EG130" s="37"/>
      <c r="EH130" s="37"/>
      <c r="EI130" s="37"/>
      <c r="EJ130" s="37"/>
      <c r="EK130" s="37"/>
      <c r="EL130" s="37"/>
      <c r="EM130" s="37"/>
      <c r="EN130" s="37"/>
      <c r="EO130" s="37"/>
      <c r="EP130" s="37"/>
      <c r="EQ130" s="37"/>
      <c r="ER130" s="37"/>
      <c r="ES130" s="37"/>
      <c r="ET130" s="37"/>
      <c r="EU130" s="37"/>
      <c r="EV130" s="37"/>
      <c r="EW130" s="37"/>
      <c r="EX130" s="37"/>
      <c r="EY130" s="37"/>
      <c r="EZ130" s="37"/>
      <c r="FA130" s="37"/>
      <c r="FB130" s="37"/>
      <c r="FC130" s="37"/>
      <c r="FD130" s="37"/>
      <c r="FE130" s="37"/>
      <c r="FF130" s="37"/>
      <c r="FG130" s="37"/>
      <c r="FH130" s="37"/>
      <c r="FI130" s="37"/>
      <c r="FJ130" s="37"/>
      <c r="FK130" s="37"/>
      <c r="FL130" s="37"/>
      <c r="FM130" s="37"/>
      <c r="FN130" s="37"/>
      <c r="FO130" s="37"/>
      <c r="FP130" s="37"/>
      <c r="FQ130" s="37"/>
      <c r="FR130" s="37"/>
      <c r="FS130" s="37"/>
      <c r="FT130" s="37"/>
      <c r="FU130" s="37"/>
      <c r="FV130" s="37"/>
    </row>
    <row r="131" spans="1:178" s="34" customFormat="1" x14ac:dyDescent="0.25">
      <c r="A131" s="471" t="s">
        <v>243</v>
      </c>
      <c r="B131" s="472"/>
      <c r="C131" s="425" t="s">
        <v>244</v>
      </c>
      <c r="D131" s="426">
        <f t="shared" ref="D131:J131" si="28">D132+D137+D143</f>
        <v>1355745.76</v>
      </c>
      <c r="E131" s="426">
        <f t="shared" si="28"/>
        <v>3391925.29</v>
      </c>
      <c r="F131" s="426">
        <f t="shared" si="28"/>
        <v>3885382.57</v>
      </c>
      <c r="G131" s="426">
        <f t="shared" si="28"/>
        <v>3662493.7500000005</v>
      </c>
      <c r="H131" s="426">
        <f t="shared" si="28"/>
        <v>3611254.1690306603</v>
      </c>
      <c r="I131" s="426">
        <f t="shared" si="28"/>
        <v>3883945.1649473915</v>
      </c>
      <c r="J131" s="426">
        <f t="shared" si="28"/>
        <v>4417981.4980739085</v>
      </c>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c r="BS131" s="37"/>
      <c r="BT131" s="37"/>
      <c r="BU131" s="37"/>
      <c r="BV131" s="37"/>
      <c r="BW131" s="37"/>
      <c r="BX131" s="37"/>
      <c r="BY131" s="37"/>
      <c r="BZ131" s="37"/>
      <c r="CA131" s="37"/>
      <c r="CB131" s="37"/>
      <c r="CC131" s="37"/>
      <c r="CD131" s="37"/>
      <c r="CE131" s="37"/>
      <c r="CF131" s="37"/>
      <c r="CG131" s="37"/>
      <c r="CH131" s="37"/>
      <c r="CI131" s="37"/>
      <c r="CJ131" s="37"/>
      <c r="CK131" s="37"/>
      <c r="CL131" s="37"/>
      <c r="CM131" s="37"/>
      <c r="CN131" s="37"/>
      <c r="CO131" s="37"/>
      <c r="CP131" s="37"/>
      <c r="CQ131" s="37"/>
      <c r="CR131" s="37"/>
      <c r="CS131" s="37"/>
      <c r="CT131" s="37"/>
      <c r="CU131" s="37"/>
      <c r="CV131" s="37"/>
      <c r="CW131" s="37"/>
      <c r="CX131" s="37"/>
      <c r="CY131" s="37"/>
      <c r="CZ131" s="37"/>
      <c r="DA131" s="37"/>
      <c r="DB131" s="37"/>
      <c r="DC131" s="37"/>
      <c r="DD131" s="37"/>
      <c r="DE131" s="37"/>
      <c r="DF131" s="37"/>
      <c r="DG131" s="37"/>
      <c r="DH131" s="37"/>
      <c r="DI131" s="37"/>
      <c r="DJ131" s="37"/>
      <c r="DK131" s="37"/>
      <c r="DL131" s="37"/>
      <c r="DM131" s="37"/>
      <c r="DN131" s="37"/>
      <c r="DO131" s="37"/>
      <c r="DP131" s="37"/>
      <c r="DQ131" s="37"/>
      <c r="DR131" s="37"/>
      <c r="DS131" s="37"/>
      <c r="DT131" s="37"/>
      <c r="DU131" s="37"/>
      <c r="DV131" s="37"/>
      <c r="DW131" s="37"/>
      <c r="DX131" s="37"/>
      <c r="DY131" s="37"/>
      <c r="DZ131" s="37"/>
      <c r="EA131" s="37"/>
      <c r="EB131" s="37"/>
      <c r="EC131" s="37"/>
      <c r="ED131" s="37"/>
      <c r="EE131" s="37"/>
      <c r="EF131" s="37"/>
      <c r="EG131" s="37"/>
      <c r="EH131" s="37"/>
      <c r="EI131" s="37"/>
      <c r="EJ131" s="37"/>
      <c r="EK131" s="37"/>
      <c r="EL131" s="37"/>
      <c r="EM131" s="37"/>
      <c r="EN131" s="37"/>
      <c r="EO131" s="37"/>
      <c r="EP131" s="37"/>
      <c r="EQ131" s="37"/>
      <c r="ER131" s="37"/>
      <c r="ES131" s="37"/>
      <c r="ET131" s="37"/>
      <c r="EU131" s="37"/>
      <c r="EV131" s="37"/>
      <c r="EW131" s="37"/>
      <c r="EX131" s="37"/>
      <c r="EY131" s="37"/>
      <c r="EZ131" s="37"/>
      <c r="FA131" s="37"/>
      <c r="FB131" s="37"/>
      <c r="FC131" s="37"/>
      <c r="FD131" s="37"/>
      <c r="FE131" s="37"/>
      <c r="FF131" s="37"/>
      <c r="FG131" s="37"/>
      <c r="FH131" s="37"/>
      <c r="FI131" s="37"/>
      <c r="FJ131" s="37"/>
      <c r="FK131" s="37"/>
      <c r="FL131" s="37"/>
      <c r="FM131" s="37"/>
      <c r="FN131" s="37"/>
      <c r="FO131" s="37"/>
      <c r="FP131" s="37"/>
      <c r="FQ131" s="37"/>
      <c r="FR131" s="37"/>
      <c r="FS131" s="37"/>
      <c r="FT131" s="37"/>
      <c r="FU131" s="37"/>
      <c r="FV131" s="37"/>
    </row>
    <row r="132" spans="1:178" s="34" customFormat="1" x14ac:dyDescent="0.25">
      <c r="A132" s="471" t="s">
        <v>245</v>
      </c>
      <c r="B132" s="472"/>
      <c r="C132" s="425" t="s">
        <v>246</v>
      </c>
      <c r="D132" s="426">
        <f t="shared" ref="D132:J132" si="29">SUM(D133:D136)</f>
        <v>1307083.21</v>
      </c>
      <c r="E132" s="426">
        <f t="shared" si="29"/>
        <v>3391925.29</v>
      </c>
      <c r="F132" s="426">
        <f t="shared" si="29"/>
        <v>3618715.9299999997</v>
      </c>
      <c r="G132" s="426">
        <f t="shared" si="29"/>
        <v>3395827.1100000003</v>
      </c>
      <c r="H132" s="426">
        <f t="shared" si="29"/>
        <v>3344587.5290306602</v>
      </c>
      <c r="I132" s="426">
        <f t="shared" si="29"/>
        <v>3706167.4049473917</v>
      </c>
      <c r="J132" s="426">
        <f t="shared" si="29"/>
        <v>4417981.4980739085</v>
      </c>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37"/>
      <c r="BS132" s="37"/>
      <c r="BT132" s="37"/>
      <c r="BU132" s="37"/>
      <c r="BV132" s="37"/>
      <c r="BW132" s="37"/>
      <c r="BX132" s="37"/>
      <c r="BY132" s="37"/>
      <c r="BZ132" s="37"/>
      <c r="CA132" s="37"/>
      <c r="CB132" s="37"/>
      <c r="CC132" s="37"/>
      <c r="CD132" s="37"/>
      <c r="CE132" s="37"/>
      <c r="CF132" s="37"/>
      <c r="CG132" s="37"/>
      <c r="CH132" s="37"/>
      <c r="CI132" s="37"/>
      <c r="CJ132" s="37"/>
      <c r="CK132" s="37"/>
      <c r="CL132" s="37"/>
      <c r="CM132" s="37"/>
      <c r="CN132" s="37"/>
      <c r="CO132" s="37"/>
      <c r="CP132" s="37"/>
      <c r="CQ132" s="37"/>
      <c r="CR132" s="37"/>
      <c r="CS132" s="37"/>
      <c r="CT132" s="37"/>
      <c r="CU132" s="37"/>
      <c r="CV132" s="37"/>
      <c r="CW132" s="37"/>
      <c r="CX132" s="37"/>
      <c r="CY132" s="37"/>
      <c r="CZ132" s="37"/>
      <c r="DA132" s="37"/>
      <c r="DB132" s="37"/>
      <c r="DC132" s="37"/>
      <c r="DD132" s="37"/>
      <c r="DE132" s="37"/>
      <c r="DF132" s="37"/>
      <c r="DG132" s="37"/>
      <c r="DH132" s="37"/>
      <c r="DI132" s="37"/>
      <c r="DJ132" s="37"/>
      <c r="DK132" s="37"/>
      <c r="DL132" s="37"/>
      <c r="DM132" s="37"/>
      <c r="DN132" s="37"/>
      <c r="DO132" s="37"/>
      <c r="DP132" s="37"/>
      <c r="DQ132" s="37"/>
      <c r="DR132" s="37"/>
      <c r="DS132" s="37"/>
      <c r="DT132" s="37"/>
      <c r="DU132" s="37"/>
      <c r="DV132" s="37"/>
      <c r="DW132" s="37"/>
      <c r="DX132" s="37"/>
      <c r="DY132" s="37"/>
      <c r="DZ132" s="37"/>
      <c r="EA132" s="37"/>
      <c r="EB132" s="37"/>
      <c r="EC132" s="37"/>
      <c r="ED132" s="37"/>
      <c r="EE132" s="37"/>
      <c r="EF132" s="37"/>
      <c r="EG132" s="37"/>
      <c r="EH132" s="37"/>
      <c r="EI132" s="37"/>
      <c r="EJ132" s="37"/>
      <c r="EK132" s="37"/>
      <c r="EL132" s="37"/>
      <c r="EM132" s="37"/>
      <c r="EN132" s="37"/>
      <c r="EO132" s="37"/>
      <c r="EP132" s="37"/>
      <c r="EQ132" s="37"/>
      <c r="ER132" s="37"/>
      <c r="ES132" s="37"/>
      <c r="ET132" s="37"/>
      <c r="EU132" s="37"/>
      <c r="EV132" s="37"/>
      <c r="EW132" s="37"/>
      <c r="EX132" s="37"/>
      <c r="EY132" s="37"/>
      <c r="EZ132" s="37"/>
      <c r="FA132" s="37"/>
      <c r="FB132" s="37"/>
      <c r="FC132" s="37"/>
      <c r="FD132" s="37"/>
      <c r="FE132" s="37"/>
      <c r="FF132" s="37"/>
      <c r="FG132" s="37"/>
      <c r="FH132" s="37"/>
      <c r="FI132" s="37"/>
      <c r="FJ132" s="37"/>
      <c r="FK132" s="37"/>
      <c r="FL132" s="37"/>
      <c r="FM132" s="37"/>
      <c r="FN132" s="37"/>
      <c r="FO132" s="37"/>
      <c r="FP132" s="37"/>
      <c r="FQ132" s="37"/>
      <c r="FR132" s="37"/>
      <c r="FS132" s="37"/>
      <c r="FT132" s="37"/>
      <c r="FU132" s="37"/>
      <c r="FV132" s="37"/>
    </row>
    <row r="133" spans="1:178" s="6" customFormat="1" ht="15" x14ac:dyDescent="0.2">
      <c r="A133" s="473" t="s">
        <v>245</v>
      </c>
      <c r="B133" s="472"/>
      <c r="C133" s="153" t="s">
        <v>247</v>
      </c>
      <c r="D133" s="436">
        <v>1303627.71</v>
      </c>
      <c r="E133" s="436">
        <v>2590053.34</v>
      </c>
      <c r="F133" s="436">
        <f>3365557.32-F134</f>
        <v>3341979.32</v>
      </c>
      <c r="G133" s="29">
        <f>(618978.39/6)*12+1300000</f>
        <v>2537956.7800000003</v>
      </c>
      <c r="H133" s="58">
        <f>G133*1.05</f>
        <v>2664854.6190000004</v>
      </c>
      <c r="I133" s="71">
        <f>H133*(1+Parâmetros!F11)*(1+Parâmetros!F20)</f>
        <v>3068704.6222799602</v>
      </c>
      <c r="J133" s="71">
        <f>I133*(1+Parâmetros!G11)*(1+Parâmetros!G20)</f>
        <v>3651196.4387901607</v>
      </c>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37"/>
      <c r="BA133" s="37"/>
      <c r="BB133" s="37"/>
      <c r="BC133" s="37"/>
      <c r="BD133" s="37"/>
      <c r="BE133" s="37"/>
      <c r="BF133" s="37"/>
      <c r="BG133" s="37"/>
      <c r="BH133" s="37"/>
      <c r="BI133" s="37"/>
      <c r="BJ133" s="37"/>
      <c r="BK133" s="37"/>
      <c r="BL133" s="37"/>
      <c r="BM133" s="37"/>
      <c r="BN133" s="37"/>
      <c r="BO133" s="37"/>
      <c r="BP133" s="37"/>
      <c r="BQ133" s="37"/>
      <c r="BR133" s="37"/>
      <c r="BS133" s="37"/>
      <c r="BT133" s="37"/>
      <c r="BU133" s="37"/>
      <c r="BV133" s="37"/>
      <c r="BW133" s="37"/>
      <c r="BX133" s="37"/>
      <c r="BY133" s="37"/>
      <c r="BZ133" s="37"/>
      <c r="CA133" s="37"/>
      <c r="CB133" s="37"/>
      <c r="CC133" s="37"/>
      <c r="CD133" s="37"/>
      <c r="CE133" s="37"/>
      <c r="CF133" s="37"/>
      <c r="CG133" s="37"/>
      <c r="CH133" s="37"/>
      <c r="CI133" s="37"/>
      <c r="CJ133" s="37"/>
      <c r="CK133" s="37"/>
      <c r="CL133" s="37"/>
      <c r="CM133" s="37"/>
      <c r="CN133" s="37"/>
      <c r="CO133" s="37"/>
      <c r="CP133" s="37"/>
      <c r="CQ133" s="37"/>
      <c r="CR133" s="37"/>
      <c r="CS133" s="37"/>
      <c r="CT133" s="37"/>
      <c r="CU133" s="37"/>
      <c r="CV133" s="37"/>
      <c r="CW133" s="37"/>
      <c r="CX133" s="37"/>
      <c r="CY133" s="37"/>
      <c r="CZ133" s="37"/>
      <c r="DA133" s="37"/>
      <c r="DB133" s="37"/>
      <c r="DC133" s="37"/>
      <c r="DD133" s="37"/>
      <c r="DE133" s="37"/>
      <c r="DF133" s="37"/>
      <c r="DG133" s="37"/>
      <c r="DH133" s="37"/>
      <c r="DI133" s="37"/>
      <c r="DJ133" s="37"/>
      <c r="DK133" s="37"/>
      <c r="DL133" s="37"/>
      <c r="DM133" s="37"/>
      <c r="DN133" s="37"/>
      <c r="DO133" s="37"/>
      <c r="DP133" s="37"/>
      <c r="DQ133" s="37"/>
      <c r="DR133" s="37"/>
      <c r="DS133" s="37"/>
      <c r="DT133" s="37"/>
      <c r="DU133" s="37"/>
      <c r="DV133" s="37"/>
      <c r="DW133" s="37"/>
      <c r="DX133" s="37"/>
      <c r="DY133" s="37"/>
      <c r="DZ133" s="37"/>
      <c r="EA133" s="37"/>
      <c r="EB133" s="37"/>
      <c r="EC133" s="37"/>
      <c r="ED133" s="37"/>
      <c r="EE133" s="37"/>
      <c r="EF133" s="37"/>
      <c r="EG133" s="37"/>
      <c r="EH133" s="37"/>
      <c r="EI133" s="37"/>
      <c r="EJ133" s="37"/>
      <c r="EK133" s="37"/>
      <c r="EL133" s="37"/>
      <c r="EM133" s="37"/>
      <c r="EN133" s="37"/>
      <c r="EO133" s="37"/>
      <c r="EP133" s="37"/>
      <c r="EQ133" s="37"/>
      <c r="ER133" s="37"/>
      <c r="ES133" s="37"/>
      <c r="ET133" s="37"/>
      <c r="EU133" s="37"/>
      <c r="EV133" s="37"/>
      <c r="EW133" s="37"/>
      <c r="EX133" s="37"/>
      <c r="EY133" s="37"/>
      <c r="EZ133" s="37"/>
      <c r="FA133" s="37"/>
      <c r="FB133" s="37"/>
      <c r="FC133" s="37"/>
      <c r="FD133" s="37"/>
      <c r="FE133" s="37"/>
      <c r="FF133" s="37"/>
      <c r="FG133" s="37"/>
      <c r="FH133" s="37"/>
      <c r="FI133" s="37"/>
      <c r="FJ133" s="37"/>
      <c r="FK133" s="37"/>
      <c r="FL133" s="37"/>
      <c r="FM133" s="37"/>
      <c r="FN133" s="37"/>
      <c r="FO133" s="37"/>
      <c r="FP133" s="37"/>
      <c r="FQ133" s="37"/>
      <c r="FR133" s="37"/>
      <c r="FS133" s="37"/>
      <c r="FT133" s="37"/>
      <c r="FU133" s="37"/>
      <c r="FV133" s="37"/>
    </row>
    <row r="134" spans="1:178" s="6" customFormat="1" ht="15" x14ac:dyDescent="0.2">
      <c r="A134" s="473" t="s">
        <v>245</v>
      </c>
      <c r="B134" s="472"/>
      <c r="C134" s="153" t="s">
        <v>248</v>
      </c>
      <c r="D134" s="33">
        <v>3455.5</v>
      </c>
      <c r="E134" s="33">
        <v>12369</v>
      </c>
      <c r="F134" s="436">
        <v>23578</v>
      </c>
      <c r="G134" s="29">
        <f>(1050/6)*12</f>
        <v>2100</v>
      </c>
      <c r="H134" s="58">
        <f>(((E134*(1+Parâmetros!B11)*(1+Parâmetros!C11)*(1+Parâmetros!D11))+(F134*(1+Parâmetros!C11)*(1+Parâmetros!D11)+(G134*(1+Parâmetros!D11))))/3)*(1+Parâmetros!E11)*(1+Parâmetros!E20)</f>
        <v>21609.85483065966</v>
      </c>
      <c r="I134" s="71">
        <f>H134*(1+Parâmetros!F11)*(1+Parâmetros!F20)</f>
        <v>24884.757664764831</v>
      </c>
      <c r="J134" s="71">
        <f>I134*(1+Parâmetros!G11)*(1+Parâmetros!G20)</f>
        <v>29608.303746823229</v>
      </c>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37"/>
      <c r="BD134" s="37"/>
      <c r="BE134" s="37"/>
      <c r="BF134" s="37"/>
      <c r="BG134" s="37"/>
      <c r="BH134" s="37"/>
      <c r="BI134" s="37"/>
      <c r="BJ134" s="37"/>
      <c r="BK134" s="37"/>
      <c r="BL134" s="37"/>
      <c r="BM134" s="37"/>
      <c r="BN134" s="37"/>
      <c r="BO134" s="37"/>
      <c r="BP134" s="37"/>
      <c r="BQ134" s="37"/>
      <c r="BR134" s="37"/>
      <c r="BS134" s="37"/>
      <c r="BT134" s="37"/>
      <c r="BU134" s="37"/>
      <c r="BV134" s="37"/>
      <c r="BW134" s="37"/>
      <c r="BX134" s="37"/>
      <c r="BY134" s="37"/>
      <c r="BZ134" s="37"/>
      <c r="CA134" s="37"/>
      <c r="CB134" s="37"/>
      <c r="CC134" s="37"/>
      <c r="CD134" s="37"/>
      <c r="CE134" s="37"/>
      <c r="CF134" s="37"/>
      <c r="CG134" s="37"/>
      <c r="CH134" s="37"/>
      <c r="CI134" s="37"/>
      <c r="CJ134" s="37"/>
      <c r="CK134" s="37"/>
      <c r="CL134" s="37"/>
      <c r="CM134" s="37"/>
      <c r="CN134" s="37"/>
      <c r="CO134" s="37"/>
      <c r="CP134" s="37"/>
      <c r="CQ134" s="37"/>
      <c r="CR134" s="37"/>
      <c r="CS134" s="37"/>
      <c r="CT134" s="37"/>
      <c r="CU134" s="37"/>
      <c r="CV134" s="37"/>
      <c r="CW134" s="37"/>
      <c r="CX134" s="37"/>
      <c r="CY134" s="37"/>
      <c r="CZ134" s="37"/>
      <c r="DA134" s="37"/>
      <c r="DB134" s="37"/>
      <c r="DC134" s="37"/>
      <c r="DD134" s="37"/>
      <c r="DE134" s="37"/>
      <c r="DF134" s="37"/>
      <c r="DG134" s="37"/>
      <c r="DH134" s="37"/>
      <c r="DI134" s="37"/>
      <c r="DJ134" s="37"/>
      <c r="DK134" s="37"/>
      <c r="DL134" s="37"/>
      <c r="DM134" s="37"/>
      <c r="DN134" s="37"/>
      <c r="DO134" s="37"/>
      <c r="DP134" s="37"/>
      <c r="DQ134" s="37"/>
      <c r="DR134" s="37"/>
      <c r="DS134" s="37"/>
      <c r="DT134" s="37"/>
      <c r="DU134" s="37"/>
      <c r="DV134" s="37"/>
      <c r="DW134" s="37"/>
      <c r="DX134" s="37"/>
      <c r="DY134" s="37"/>
      <c r="DZ134" s="37"/>
      <c r="EA134" s="37"/>
      <c r="EB134" s="37"/>
      <c r="EC134" s="37"/>
      <c r="ED134" s="37"/>
      <c r="EE134" s="37"/>
      <c r="EF134" s="37"/>
      <c r="EG134" s="37"/>
      <c r="EH134" s="37"/>
      <c r="EI134" s="37"/>
      <c r="EJ134" s="37"/>
      <c r="EK134" s="37"/>
      <c r="EL134" s="37"/>
      <c r="EM134" s="37"/>
      <c r="EN134" s="37"/>
      <c r="EO134" s="37"/>
      <c r="EP134" s="37"/>
      <c r="EQ134" s="37"/>
      <c r="ER134" s="37"/>
      <c r="ES134" s="37"/>
      <c r="ET134" s="37"/>
      <c r="EU134" s="37"/>
      <c r="EV134" s="37"/>
      <c r="EW134" s="37"/>
      <c r="EX134" s="37"/>
      <c r="EY134" s="37"/>
      <c r="EZ134" s="37"/>
      <c r="FA134" s="37"/>
      <c r="FB134" s="37"/>
      <c r="FC134" s="37"/>
      <c r="FD134" s="37"/>
      <c r="FE134" s="37"/>
      <c r="FF134" s="37"/>
      <c r="FG134" s="37"/>
      <c r="FH134" s="37"/>
      <c r="FI134" s="37"/>
      <c r="FJ134" s="37"/>
      <c r="FK134" s="37"/>
      <c r="FL134" s="37"/>
      <c r="FM134" s="37"/>
      <c r="FN134" s="37"/>
      <c r="FO134" s="37"/>
      <c r="FP134" s="37"/>
      <c r="FQ134" s="37"/>
      <c r="FR134" s="37"/>
      <c r="FS134" s="37"/>
      <c r="FT134" s="37"/>
      <c r="FU134" s="37"/>
      <c r="FV134" s="37"/>
    </row>
    <row r="135" spans="1:178" s="6" customFormat="1" x14ac:dyDescent="0.25">
      <c r="A135" s="473" t="s">
        <v>249</v>
      </c>
      <c r="B135" s="472"/>
      <c r="C135" s="153" t="s">
        <v>250</v>
      </c>
      <c r="D135" s="33"/>
      <c r="E135" s="33">
        <v>789502.95</v>
      </c>
      <c r="F135" s="33">
        <f>247914.49+5244.12</f>
        <v>253158.61</v>
      </c>
      <c r="G135" s="33">
        <f>855770.33</f>
        <v>855770.33</v>
      </c>
      <c r="H135" s="58">
        <f>((E135+F135+G135)/3)*(1+Parâmetros!E11)</f>
        <v>658123.05520000006</v>
      </c>
      <c r="I135" s="58">
        <f>((F135+G135+H135)/3)*(1+Parâmetros!F11)</f>
        <v>612578.02500266663</v>
      </c>
      <c r="J135" s="58">
        <f>((G135+H135+I135)/3)*(1+Parâmetros!G11)</f>
        <v>737176.75553692447</v>
      </c>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37"/>
      <c r="BA135" s="37"/>
      <c r="BB135" s="37"/>
      <c r="BC135" s="37"/>
      <c r="BD135" s="37"/>
      <c r="BE135" s="37"/>
      <c r="BF135" s="37"/>
      <c r="BG135" s="37"/>
      <c r="BH135" s="37"/>
      <c r="BI135" s="37"/>
      <c r="BJ135" s="37"/>
      <c r="BK135" s="37"/>
      <c r="BL135" s="37"/>
      <c r="BM135" s="37"/>
      <c r="BN135" s="37"/>
      <c r="BO135" s="37"/>
      <c r="BP135" s="37"/>
      <c r="BQ135" s="37"/>
      <c r="BR135" s="37"/>
      <c r="BS135" s="37"/>
      <c r="BT135" s="37"/>
      <c r="BU135" s="37"/>
      <c r="BV135" s="37"/>
      <c r="BW135" s="37"/>
      <c r="BX135" s="37"/>
      <c r="BY135" s="37"/>
      <c r="BZ135" s="37"/>
      <c r="CA135" s="37"/>
      <c r="CB135" s="37"/>
      <c r="CC135" s="37"/>
      <c r="CD135" s="37"/>
      <c r="CE135" s="37"/>
      <c r="CF135" s="37"/>
      <c r="CG135" s="37"/>
      <c r="CH135" s="37"/>
      <c r="CI135" s="37"/>
      <c r="CJ135" s="37"/>
      <c r="CK135" s="37"/>
      <c r="CL135" s="37"/>
      <c r="CM135" s="37"/>
      <c r="CN135" s="37"/>
      <c r="CO135" s="37"/>
      <c r="CP135" s="37"/>
      <c r="CQ135" s="37"/>
      <c r="CR135" s="37"/>
      <c r="CS135" s="37"/>
      <c r="CT135" s="37"/>
      <c r="CU135" s="37"/>
      <c r="CV135" s="37"/>
      <c r="CW135" s="37"/>
      <c r="CX135" s="37"/>
      <c r="CY135" s="37"/>
      <c r="CZ135" s="37"/>
      <c r="DA135" s="37"/>
      <c r="DB135" s="37"/>
      <c r="DC135" s="37"/>
      <c r="DD135" s="37"/>
      <c r="DE135" s="37"/>
      <c r="DF135" s="37"/>
      <c r="DG135" s="37"/>
      <c r="DH135" s="37"/>
      <c r="DI135" s="37"/>
      <c r="DJ135" s="37"/>
      <c r="DK135" s="37"/>
      <c r="DL135" s="37"/>
      <c r="DM135" s="37"/>
      <c r="DN135" s="37"/>
      <c r="DO135" s="37"/>
      <c r="DP135" s="37"/>
      <c r="DQ135" s="37"/>
      <c r="DR135" s="37"/>
      <c r="DS135" s="37"/>
      <c r="DT135" s="37"/>
      <c r="DU135" s="37"/>
      <c r="DV135" s="37"/>
      <c r="DW135" s="37"/>
      <c r="DX135" s="37"/>
      <c r="DY135" s="37"/>
      <c r="DZ135" s="37"/>
      <c r="EA135" s="37"/>
      <c r="EB135" s="37"/>
      <c r="EC135" s="37"/>
      <c r="ED135" s="37"/>
      <c r="EE135" s="37"/>
      <c r="EF135" s="37"/>
      <c r="EG135" s="37"/>
      <c r="EH135" s="37"/>
      <c r="EI135" s="37"/>
      <c r="EJ135" s="37"/>
      <c r="EK135" s="37"/>
      <c r="EL135" s="37"/>
      <c r="EM135" s="37"/>
      <c r="EN135" s="37"/>
      <c r="EO135" s="37"/>
      <c r="EP135" s="37"/>
      <c r="EQ135" s="37"/>
      <c r="ER135" s="37"/>
      <c r="ES135" s="37"/>
      <c r="ET135" s="37"/>
      <c r="EU135" s="37"/>
      <c r="EV135" s="37"/>
      <c r="EW135" s="37"/>
      <c r="EX135" s="37"/>
      <c r="EY135" s="37"/>
      <c r="EZ135" s="37"/>
      <c r="FA135" s="37"/>
      <c r="FB135" s="37"/>
      <c r="FC135" s="37"/>
      <c r="FD135" s="37"/>
      <c r="FE135" s="37"/>
      <c r="FF135" s="37"/>
      <c r="FG135" s="37"/>
      <c r="FH135" s="37"/>
      <c r="FI135" s="37"/>
      <c r="FJ135" s="37"/>
      <c r="FK135" s="37"/>
      <c r="FL135" s="37"/>
      <c r="FM135" s="37"/>
      <c r="FN135" s="37"/>
      <c r="FO135" s="37"/>
      <c r="FP135" s="37"/>
      <c r="FQ135" s="37"/>
      <c r="FR135" s="37"/>
      <c r="FS135" s="37"/>
      <c r="FT135" s="37"/>
      <c r="FU135" s="37"/>
      <c r="FV135" s="37"/>
    </row>
    <row r="136" spans="1:178" s="6" customFormat="1" x14ac:dyDescent="0.25">
      <c r="A136" s="473" t="s">
        <v>251</v>
      </c>
      <c r="B136" s="472"/>
      <c r="C136" s="153" t="s">
        <v>252</v>
      </c>
      <c r="D136" s="33"/>
      <c r="E136" s="33"/>
      <c r="F136" s="33"/>
      <c r="G136" s="33"/>
      <c r="H136" s="58">
        <f>((E136+F136+G136)/3)*(1+Parâmetros!E11)</f>
        <v>0</v>
      </c>
      <c r="I136" s="58">
        <f>((F136+G136+H136)/3)*(1+Parâmetros!F11)</f>
        <v>0</v>
      </c>
      <c r="J136" s="58">
        <f>((G136+H136+I136)/3)*(1+Parâmetros!G11)</f>
        <v>0</v>
      </c>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37"/>
      <c r="BA136" s="37"/>
      <c r="BB136" s="37"/>
      <c r="BC136" s="37"/>
      <c r="BD136" s="37"/>
      <c r="BE136" s="37"/>
      <c r="BF136" s="37"/>
      <c r="BG136" s="37"/>
      <c r="BH136" s="37"/>
      <c r="BI136" s="37"/>
      <c r="BJ136" s="37"/>
      <c r="BK136" s="37"/>
      <c r="BL136" s="37"/>
      <c r="BM136" s="37"/>
      <c r="BN136" s="37"/>
      <c r="BO136" s="37"/>
      <c r="BP136" s="37"/>
      <c r="BQ136" s="37"/>
      <c r="BR136" s="37"/>
      <c r="BS136" s="37"/>
      <c r="BT136" s="37"/>
      <c r="BU136" s="37"/>
      <c r="BV136" s="37"/>
      <c r="BW136" s="37"/>
      <c r="BX136" s="37"/>
      <c r="BY136" s="37"/>
      <c r="BZ136" s="37"/>
      <c r="CA136" s="37"/>
      <c r="CB136" s="37"/>
      <c r="CC136" s="37"/>
      <c r="CD136" s="37"/>
      <c r="CE136" s="37"/>
      <c r="CF136" s="37"/>
      <c r="CG136" s="37"/>
      <c r="CH136" s="37"/>
      <c r="CI136" s="37"/>
      <c r="CJ136" s="37"/>
      <c r="CK136" s="37"/>
      <c r="CL136" s="37"/>
      <c r="CM136" s="37"/>
      <c r="CN136" s="37"/>
      <c r="CO136" s="37"/>
      <c r="CP136" s="37"/>
      <c r="CQ136" s="37"/>
      <c r="CR136" s="37"/>
      <c r="CS136" s="37"/>
      <c r="CT136" s="37"/>
      <c r="CU136" s="37"/>
      <c r="CV136" s="37"/>
      <c r="CW136" s="37"/>
      <c r="CX136" s="37"/>
      <c r="CY136" s="37"/>
      <c r="CZ136" s="37"/>
      <c r="DA136" s="37"/>
      <c r="DB136" s="37"/>
      <c r="DC136" s="37"/>
      <c r="DD136" s="37"/>
      <c r="DE136" s="37"/>
      <c r="DF136" s="37"/>
      <c r="DG136" s="37"/>
      <c r="DH136" s="37"/>
      <c r="DI136" s="37"/>
      <c r="DJ136" s="37"/>
      <c r="DK136" s="37"/>
      <c r="DL136" s="37"/>
      <c r="DM136" s="37"/>
      <c r="DN136" s="37"/>
      <c r="DO136" s="37"/>
      <c r="DP136" s="37"/>
      <c r="DQ136" s="37"/>
      <c r="DR136" s="37"/>
      <c r="DS136" s="37"/>
      <c r="DT136" s="37"/>
      <c r="DU136" s="37"/>
      <c r="DV136" s="37"/>
      <c r="DW136" s="37"/>
      <c r="DX136" s="37"/>
      <c r="DY136" s="37"/>
      <c r="DZ136" s="37"/>
      <c r="EA136" s="37"/>
      <c r="EB136" s="37"/>
      <c r="EC136" s="37"/>
      <c r="ED136" s="37"/>
      <c r="EE136" s="37"/>
      <c r="EF136" s="37"/>
      <c r="EG136" s="37"/>
      <c r="EH136" s="37"/>
      <c r="EI136" s="37"/>
      <c r="EJ136" s="37"/>
      <c r="EK136" s="37"/>
      <c r="EL136" s="37"/>
      <c r="EM136" s="37"/>
      <c r="EN136" s="37"/>
      <c r="EO136" s="37"/>
      <c r="EP136" s="37"/>
      <c r="EQ136" s="37"/>
      <c r="ER136" s="37"/>
      <c r="ES136" s="37"/>
      <c r="ET136" s="37"/>
      <c r="EU136" s="37"/>
      <c r="EV136" s="37"/>
      <c r="EW136" s="37"/>
      <c r="EX136" s="37"/>
      <c r="EY136" s="37"/>
      <c r="EZ136" s="37"/>
      <c r="FA136" s="37"/>
      <c r="FB136" s="37"/>
      <c r="FC136" s="37"/>
      <c r="FD136" s="37"/>
      <c r="FE136" s="37"/>
      <c r="FF136" s="37"/>
      <c r="FG136" s="37"/>
      <c r="FH136" s="37"/>
      <c r="FI136" s="37"/>
      <c r="FJ136" s="37"/>
      <c r="FK136" s="37"/>
      <c r="FL136" s="37"/>
      <c r="FM136" s="37"/>
      <c r="FN136" s="37"/>
      <c r="FO136" s="37"/>
      <c r="FP136" s="37"/>
      <c r="FQ136" s="37"/>
      <c r="FR136" s="37"/>
      <c r="FS136" s="37"/>
      <c r="FT136" s="37"/>
      <c r="FU136" s="37"/>
      <c r="FV136" s="37"/>
    </row>
    <row r="137" spans="1:178" s="34" customFormat="1" x14ac:dyDescent="0.25">
      <c r="A137" s="471" t="s">
        <v>253</v>
      </c>
      <c r="B137" s="472"/>
      <c r="C137" s="425" t="s">
        <v>254</v>
      </c>
      <c r="D137" s="426">
        <f t="shared" ref="D137:J137" si="30">SUM(D138:D142)</f>
        <v>48662.55</v>
      </c>
      <c r="E137" s="426">
        <f t="shared" si="30"/>
        <v>0</v>
      </c>
      <c r="F137" s="426">
        <f t="shared" si="30"/>
        <v>0</v>
      </c>
      <c r="G137" s="426">
        <f t="shared" si="30"/>
        <v>0</v>
      </c>
      <c r="H137" s="426">
        <f t="shared" si="30"/>
        <v>0</v>
      </c>
      <c r="I137" s="426">
        <f t="shared" si="30"/>
        <v>0</v>
      </c>
      <c r="J137" s="426">
        <f t="shared" si="30"/>
        <v>0</v>
      </c>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7"/>
      <c r="AZ137" s="37"/>
      <c r="BA137" s="37"/>
      <c r="BB137" s="37"/>
      <c r="BC137" s="37"/>
      <c r="BD137" s="37"/>
      <c r="BE137" s="37"/>
      <c r="BF137" s="37"/>
      <c r="BG137" s="37"/>
      <c r="BH137" s="37"/>
      <c r="BI137" s="37"/>
      <c r="BJ137" s="37"/>
      <c r="BK137" s="37"/>
      <c r="BL137" s="37"/>
      <c r="BM137" s="37"/>
      <c r="BN137" s="37"/>
      <c r="BO137" s="37"/>
      <c r="BP137" s="37"/>
      <c r="BQ137" s="37"/>
      <c r="BR137" s="37"/>
      <c r="BS137" s="37"/>
      <c r="BT137" s="37"/>
      <c r="BU137" s="37"/>
      <c r="BV137" s="37"/>
      <c r="BW137" s="37"/>
      <c r="BX137" s="37"/>
      <c r="BY137" s="37"/>
      <c r="BZ137" s="37"/>
      <c r="CA137" s="37"/>
      <c r="CB137" s="37"/>
      <c r="CC137" s="37"/>
      <c r="CD137" s="37"/>
      <c r="CE137" s="37"/>
      <c r="CF137" s="37"/>
      <c r="CG137" s="37"/>
      <c r="CH137" s="37"/>
      <c r="CI137" s="37"/>
      <c r="CJ137" s="37"/>
      <c r="CK137" s="37"/>
      <c r="CL137" s="37"/>
      <c r="CM137" s="37"/>
      <c r="CN137" s="37"/>
      <c r="CO137" s="37"/>
      <c r="CP137" s="37"/>
      <c r="CQ137" s="37"/>
      <c r="CR137" s="37"/>
      <c r="CS137" s="37"/>
      <c r="CT137" s="37"/>
      <c r="CU137" s="37"/>
      <c r="CV137" s="37"/>
      <c r="CW137" s="37"/>
      <c r="CX137" s="37"/>
      <c r="CY137" s="37"/>
      <c r="CZ137" s="37"/>
      <c r="DA137" s="37"/>
      <c r="DB137" s="37"/>
      <c r="DC137" s="37"/>
      <c r="DD137" s="37"/>
      <c r="DE137" s="37"/>
      <c r="DF137" s="37"/>
      <c r="DG137" s="37"/>
      <c r="DH137" s="37"/>
      <c r="DI137" s="37"/>
      <c r="DJ137" s="37"/>
      <c r="DK137" s="37"/>
      <c r="DL137" s="37"/>
      <c r="DM137" s="37"/>
      <c r="DN137" s="37"/>
      <c r="DO137" s="37"/>
      <c r="DP137" s="37"/>
      <c r="DQ137" s="37"/>
      <c r="DR137" s="37"/>
      <c r="DS137" s="37"/>
      <c r="DT137" s="37"/>
      <c r="DU137" s="37"/>
      <c r="DV137" s="37"/>
      <c r="DW137" s="37"/>
      <c r="DX137" s="37"/>
      <c r="DY137" s="37"/>
      <c r="DZ137" s="37"/>
      <c r="EA137" s="37"/>
      <c r="EB137" s="37"/>
      <c r="EC137" s="37"/>
      <c r="ED137" s="37"/>
      <c r="EE137" s="37"/>
      <c r="EF137" s="37"/>
      <c r="EG137" s="37"/>
      <c r="EH137" s="37"/>
      <c r="EI137" s="37"/>
      <c r="EJ137" s="37"/>
      <c r="EK137" s="37"/>
      <c r="EL137" s="37"/>
      <c r="EM137" s="37"/>
      <c r="EN137" s="37"/>
      <c r="EO137" s="37"/>
      <c r="EP137" s="37"/>
      <c r="EQ137" s="37"/>
      <c r="ER137" s="37"/>
      <c r="ES137" s="37"/>
      <c r="ET137" s="37"/>
      <c r="EU137" s="37"/>
      <c r="EV137" s="37"/>
      <c r="EW137" s="37"/>
      <c r="EX137" s="37"/>
      <c r="EY137" s="37"/>
      <c r="EZ137" s="37"/>
      <c r="FA137" s="37"/>
      <c r="FB137" s="37"/>
      <c r="FC137" s="37"/>
      <c r="FD137" s="37"/>
      <c r="FE137" s="37"/>
      <c r="FF137" s="37"/>
      <c r="FG137" s="37"/>
      <c r="FH137" s="37"/>
      <c r="FI137" s="37"/>
      <c r="FJ137" s="37"/>
      <c r="FK137" s="37"/>
      <c r="FL137" s="37"/>
      <c r="FM137" s="37"/>
      <c r="FN137" s="37"/>
      <c r="FO137" s="37"/>
      <c r="FP137" s="37"/>
      <c r="FQ137" s="37"/>
      <c r="FR137" s="37"/>
      <c r="FS137" s="37"/>
      <c r="FT137" s="37"/>
      <c r="FU137" s="37"/>
      <c r="FV137" s="37"/>
    </row>
    <row r="138" spans="1:178" customFormat="1" ht="15" x14ac:dyDescent="0.2">
      <c r="A138" s="473" t="s">
        <v>255</v>
      </c>
      <c r="B138" s="472"/>
      <c r="C138" s="153" t="s">
        <v>256</v>
      </c>
      <c r="D138" s="29"/>
      <c r="E138" s="29"/>
      <c r="F138" s="29"/>
      <c r="G138" s="29"/>
      <c r="H138" s="58">
        <f>(((E138*(1+Parâmetros!B11)*(1+Parâmetros!C11)*(1+Parâmetros!D11))+(F138*(1+Parâmetros!C11)*(1+Parâmetros!D11)+(G138*(1+Parâmetros!D11))))/3)*(1+Parâmetros!E11)</f>
        <v>0</v>
      </c>
      <c r="I138" s="71">
        <f>H138*(1+Parâmetros!F11)</f>
        <v>0</v>
      </c>
      <c r="J138" s="71">
        <f>I138*(1+Parâmetros!G11)</f>
        <v>0</v>
      </c>
    </row>
    <row r="139" spans="1:178" customFormat="1" ht="15" x14ac:dyDescent="0.2">
      <c r="A139" s="473" t="s">
        <v>257</v>
      </c>
      <c r="B139" s="472"/>
      <c r="C139" s="153" t="s">
        <v>258</v>
      </c>
      <c r="D139" s="33">
        <v>48662.55</v>
      </c>
      <c r="E139" s="29"/>
      <c r="F139" s="29"/>
      <c r="G139" s="29"/>
      <c r="H139" s="58">
        <f>(((E139*(1+Parâmetros!B11)*(1+Parâmetros!C11)*(1+Parâmetros!D11))+(F139*(1+Parâmetros!C11)*(1+Parâmetros!D11)+(G139*(1+Parâmetros!D11))))/3)*(1+Parâmetros!E11)</f>
        <v>0</v>
      </c>
      <c r="I139" s="71">
        <f>H139*(1+Parâmetros!F11)</f>
        <v>0</v>
      </c>
      <c r="J139" s="71">
        <f>I139*(1+Parâmetros!G11)</f>
        <v>0</v>
      </c>
    </row>
    <row r="140" spans="1:178" customFormat="1" ht="15" x14ac:dyDescent="0.2">
      <c r="A140" s="473" t="s">
        <v>257</v>
      </c>
      <c r="B140" s="472"/>
      <c r="C140" s="153" t="s">
        <v>259</v>
      </c>
      <c r="D140" s="33"/>
      <c r="E140" s="33"/>
      <c r="F140" s="33"/>
      <c r="G140" s="33"/>
      <c r="H140" s="58">
        <f>(((E140*(1+Parâmetros!B11)*(1+Parâmetros!C11)*(1+Parâmetros!D11))+(F140*(1+Parâmetros!C11)*(1+Parâmetros!D11)+(G140*(1+Parâmetros!D11))))/3)*(1+Parâmetros!E11)</f>
        <v>0</v>
      </c>
      <c r="I140" s="71">
        <f>H140*(1+Parâmetros!F11)</f>
        <v>0</v>
      </c>
      <c r="J140" s="71">
        <f>I140*(1+Parâmetros!G11)</f>
        <v>0</v>
      </c>
    </row>
    <row r="141" spans="1:178" customFormat="1" x14ac:dyDescent="0.25">
      <c r="A141" s="473" t="s">
        <v>257</v>
      </c>
      <c r="B141" s="472"/>
      <c r="C141" s="153" t="s">
        <v>260</v>
      </c>
      <c r="D141" s="33"/>
      <c r="E141" s="33"/>
      <c r="F141" s="33"/>
      <c r="G141" s="33"/>
      <c r="H141" s="58">
        <f>((E141+F141+G141)/3)*(1+Parâmetros!E11)</f>
        <v>0</v>
      </c>
      <c r="I141" s="58">
        <f>((F141+G141+H141)/3)*(1+Parâmetros!F11)</f>
        <v>0</v>
      </c>
      <c r="J141" s="58">
        <f>((G141+H141+I141)/3)*(1+Parâmetros!G11)</f>
        <v>0</v>
      </c>
    </row>
    <row r="142" spans="1:178" customFormat="1" x14ac:dyDescent="0.25">
      <c r="A142" s="473" t="s">
        <v>261</v>
      </c>
      <c r="B142" s="472"/>
      <c r="C142" s="153" t="s">
        <v>262</v>
      </c>
      <c r="D142" s="33"/>
      <c r="E142" s="33"/>
      <c r="F142" s="33"/>
      <c r="G142" s="33"/>
      <c r="H142" s="58">
        <f>((E142+F142+G142)/3)*(1+Parâmetros!E11)</f>
        <v>0</v>
      </c>
      <c r="I142" s="58">
        <f>((F142+G142+H142)/3)*(1+Parâmetros!F11)</f>
        <v>0</v>
      </c>
      <c r="J142" s="58">
        <f>((G142+H142+I142)/3)*(1+Parâmetros!G11)</f>
        <v>0</v>
      </c>
    </row>
    <row r="143" spans="1:178" s="34" customFormat="1" x14ac:dyDescent="0.25">
      <c r="A143" s="471" t="s">
        <v>263</v>
      </c>
      <c r="B143" s="472"/>
      <c r="C143" s="425" t="s">
        <v>264</v>
      </c>
      <c r="D143" s="426">
        <f t="shared" ref="D143:J143" si="31">SUM(D144:D147)</f>
        <v>0</v>
      </c>
      <c r="E143" s="426">
        <f t="shared" si="31"/>
        <v>0</v>
      </c>
      <c r="F143" s="426">
        <f t="shared" si="31"/>
        <v>266666.64</v>
      </c>
      <c r="G143" s="426">
        <f t="shared" si="31"/>
        <v>266666.64</v>
      </c>
      <c r="H143" s="426">
        <f t="shared" si="31"/>
        <v>266666.64</v>
      </c>
      <c r="I143" s="426">
        <f t="shared" si="31"/>
        <v>177777.76</v>
      </c>
      <c r="J143" s="426">
        <f t="shared" si="31"/>
        <v>0</v>
      </c>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c r="AX143" s="37"/>
      <c r="AY143" s="37"/>
      <c r="AZ143" s="37"/>
      <c r="BA143" s="37"/>
      <c r="BB143" s="37"/>
      <c r="BC143" s="37"/>
      <c r="BD143" s="37"/>
      <c r="BE143" s="37"/>
      <c r="BF143" s="37"/>
      <c r="BG143" s="37"/>
      <c r="BH143" s="37"/>
      <c r="BI143" s="37"/>
      <c r="BJ143" s="37"/>
      <c r="BK143" s="37"/>
      <c r="BL143" s="37"/>
      <c r="BM143" s="37"/>
      <c r="BN143" s="37"/>
      <c r="BO143" s="37"/>
      <c r="BP143" s="37"/>
      <c r="BQ143" s="37"/>
      <c r="BR143" s="37"/>
      <c r="BS143" s="37"/>
      <c r="BT143" s="37"/>
      <c r="BU143" s="37"/>
      <c r="BV143" s="37"/>
      <c r="BW143" s="37"/>
      <c r="BX143" s="37"/>
      <c r="BY143" s="37"/>
      <c r="BZ143" s="37"/>
      <c r="CA143" s="37"/>
      <c r="CB143" s="37"/>
      <c r="CC143" s="37"/>
      <c r="CD143" s="37"/>
      <c r="CE143" s="37"/>
      <c r="CF143" s="37"/>
      <c r="CG143" s="37"/>
      <c r="CH143" s="37"/>
      <c r="CI143" s="37"/>
      <c r="CJ143" s="37"/>
      <c r="CK143" s="37"/>
      <c r="CL143" s="37"/>
      <c r="CM143" s="37"/>
      <c r="CN143" s="37"/>
      <c r="CO143" s="37"/>
      <c r="CP143" s="37"/>
      <c r="CQ143" s="37"/>
      <c r="CR143" s="37"/>
      <c r="CS143" s="37"/>
      <c r="CT143" s="37"/>
      <c r="CU143" s="37"/>
      <c r="CV143" s="37"/>
      <c r="CW143" s="37"/>
      <c r="CX143" s="37"/>
      <c r="CY143" s="37"/>
      <c r="CZ143" s="37"/>
      <c r="DA143" s="37"/>
      <c r="DB143" s="37"/>
      <c r="DC143" s="37"/>
      <c r="DD143" s="37"/>
      <c r="DE143" s="37"/>
      <c r="DF143" s="37"/>
      <c r="DG143" s="37"/>
      <c r="DH143" s="37"/>
      <c r="DI143" s="37"/>
      <c r="DJ143" s="37"/>
      <c r="DK143" s="37"/>
      <c r="DL143" s="37"/>
      <c r="DM143" s="37"/>
      <c r="DN143" s="37"/>
      <c r="DO143" s="37"/>
      <c r="DP143" s="37"/>
      <c r="DQ143" s="37"/>
      <c r="DR143" s="37"/>
      <c r="DS143" s="37"/>
      <c r="DT143" s="37"/>
      <c r="DU143" s="37"/>
      <c r="DV143" s="37"/>
      <c r="DW143" s="37"/>
      <c r="DX143" s="37"/>
      <c r="DY143" s="37"/>
      <c r="DZ143" s="37"/>
      <c r="EA143" s="37"/>
      <c r="EB143" s="37"/>
      <c r="EC143" s="37"/>
      <c r="ED143" s="37"/>
      <c r="EE143" s="37"/>
      <c r="EF143" s="37"/>
      <c r="EG143" s="37"/>
      <c r="EH143" s="37"/>
      <c r="EI143" s="37"/>
      <c r="EJ143" s="37"/>
      <c r="EK143" s="37"/>
      <c r="EL143" s="37"/>
      <c r="EM143" s="37"/>
      <c r="EN143" s="37"/>
      <c r="EO143" s="37"/>
      <c r="EP143" s="37"/>
      <c r="EQ143" s="37"/>
      <c r="ER143" s="37"/>
      <c r="ES143" s="37"/>
      <c r="ET143" s="37"/>
      <c r="EU143" s="37"/>
      <c r="EV143" s="37"/>
      <c r="EW143" s="37"/>
      <c r="EX143" s="37"/>
      <c r="EY143" s="37"/>
      <c r="EZ143" s="37"/>
      <c r="FA143" s="37"/>
      <c r="FB143" s="37"/>
      <c r="FC143" s="37"/>
      <c r="FD143" s="37"/>
      <c r="FE143" s="37"/>
      <c r="FF143" s="37"/>
      <c r="FG143" s="37"/>
      <c r="FH143" s="37"/>
      <c r="FI143" s="37"/>
      <c r="FJ143" s="37"/>
      <c r="FK143" s="37"/>
      <c r="FL143" s="37"/>
      <c r="FM143" s="37"/>
      <c r="FN143" s="37"/>
      <c r="FO143" s="37"/>
      <c r="FP143" s="37"/>
      <c r="FQ143" s="37"/>
      <c r="FR143" s="37"/>
      <c r="FS143" s="37"/>
      <c r="FT143" s="37"/>
      <c r="FU143" s="37"/>
      <c r="FV143" s="37"/>
    </row>
    <row r="144" spans="1:178" s="6" customFormat="1" ht="15" x14ac:dyDescent="0.2">
      <c r="A144" s="473" t="s">
        <v>263</v>
      </c>
      <c r="B144" s="472"/>
      <c r="C144" s="153" t="s">
        <v>265</v>
      </c>
      <c r="D144" s="29"/>
      <c r="E144" s="29"/>
      <c r="F144" s="436">
        <v>266666.64</v>
      </c>
      <c r="G144" s="29">
        <f>F144</f>
        <v>266666.64</v>
      </c>
      <c r="H144" s="58">
        <f>G144</f>
        <v>266666.64</v>
      </c>
      <c r="I144" s="71">
        <f>(H144/12)*8</f>
        <v>177777.76</v>
      </c>
      <c r="J144" s="71"/>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37"/>
      <c r="AY144" s="37"/>
      <c r="AZ144" s="37"/>
      <c r="BA144" s="37"/>
      <c r="BB144" s="37"/>
      <c r="BC144" s="37"/>
      <c r="BD144" s="37"/>
      <c r="BE144" s="37"/>
      <c r="BF144" s="37"/>
      <c r="BG144" s="37"/>
      <c r="BH144" s="37"/>
      <c r="BI144" s="37"/>
      <c r="BJ144" s="37"/>
      <c r="BK144" s="37"/>
      <c r="BL144" s="37"/>
      <c r="BM144" s="37"/>
      <c r="BN144" s="37"/>
      <c r="BO144" s="37"/>
      <c r="BP144" s="37"/>
      <c r="BQ144" s="37"/>
      <c r="BR144" s="37"/>
      <c r="BS144" s="37"/>
      <c r="BT144" s="37"/>
      <c r="BU144" s="37"/>
      <c r="BV144" s="37"/>
      <c r="BW144" s="37"/>
      <c r="BX144" s="37"/>
      <c r="BY144" s="37"/>
      <c r="BZ144" s="37"/>
      <c r="CA144" s="37"/>
      <c r="CB144" s="37"/>
      <c r="CC144" s="37"/>
      <c r="CD144" s="37"/>
      <c r="CE144" s="37"/>
      <c r="CF144" s="37"/>
      <c r="CG144" s="37"/>
      <c r="CH144" s="37"/>
      <c r="CI144" s="37"/>
      <c r="CJ144" s="37"/>
      <c r="CK144" s="37"/>
      <c r="CL144" s="37"/>
      <c r="CM144" s="37"/>
      <c r="CN144" s="37"/>
      <c r="CO144" s="37"/>
      <c r="CP144" s="37"/>
      <c r="CQ144" s="37"/>
      <c r="CR144" s="37"/>
      <c r="CS144" s="37"/>
      <c r="CT144" s="37"/>
      <c r="CU144" s="37"/>
      <c r="CV144" s="37"/>
      <c r="CW144" s="37"/>
      <c r="CX144" s="37"/>
      <c r="CY144" s="37"/>
      <c r="CZ144" s="37"/>
      <c r="DA144" s="37"/>
      <c r="DB144" s="37"/>
      <c r="DC144" s="37"/>
      <c r="DD144" s="37"/>
      <c r="DE144" s="37"/>
      <c r="DF144" s="37"/>
      <c r="DG144" s="37"/>
      <c r="DH144" s="37"/>
      <c r="DI144" s="37"/>
      <c r="DJ144" s="37"/>
      <c r="DK144" s="37"/>
      <c r="DL144" s="37"/>
      <c r="DM144" s="37"/>
      <c r="DN144" s="37"/>
      <c r="DO144" s="37"/>
      <c r="DP144" s="37"/>
      <c r="DQ144" s="37"/>
      <c r="DR144" s="37"/>
      <c r="DS144" s="37"/>
      <c r="DT144" s="37"/>
      <c r="DU144" s="37"/>
      <c r="DV144" s="37"/>
      <c r="DW144" s="37"/>
      <c r="DX144" s="37"/>
      <c r="DY144" s="37"/>
      <c r="DZ144" s="37"/>
      <c r="EA144" s="37"/>
      <c r="EB144" s="37"/>
      <c r="EC144" s="37"/>
      <c r="ED144" s="37"/>
      <c r="EE144" s="37"/>
      <c r="EF144" s="37"/>
      <c r="EG144" s="37"/>
      <c r="EH144" s="37"/>
      <c r="EI144" s="37"/>
      <c r="EJ144" s="37"/>
      <c r="EK144" s="37"/>
      <c r="EL144" s="37"/>
      <c r="EM144" s="37"/>
      <c r="EN144" s="37"/>
      <c r="EO144" s="37"/>
      <c r="EP144" s="37"/>
      <c r="EQ144" s="37"/>
      <c r="ER144" s="37"/>
      <c r="ES144" s="37"/>
      <c r="ET144" s="37"/>
      <c r="EU144" s="37"/>
      <c r="EV144" s="37"/>
      <c r="EW144" s="37"/>
      <c r="EX144" s="37"/>
      <c r="EY144" s="37"/>
      <c r="EZ144" s="37"/>
      <c r="FA144" s="37"/>
      <c r="FB144" s="37"/>
      <c r="FC144" s="37"/>
      <c r="FD144" s="37"/>
      <c r="FE144" s="37"/>
      <c r="FF144" s="37"/>
      <c r="FG144" s="37"/>
      <c r="FH144" s="37"/>
      <c r="FI144" s="37"/>
      <c r="FJ144" s="37"/>
      <c r="FK144" s="37"/>
      <c r="FL144" s="37"/>
      <c r="FM144" s="37"/>
      <c r="FN144" s="37"/>
      <c r="FO144" s="37"/>
      <c r="FP144" s="37"/>
      <c r="FQ144" s="37"/>
      <c r="FR144" s="37"/>
      <c r="FS144" s="37"/>
      <c r="FT144" s="37"/>
      <c r="FU144" s="37"/>
      <c r="FV144" s="37"/>
    </row>
    <row r="145" spans="1:178" s="6" customFormat="1" ht="15" x14ac:dyDescent="0.2">
      <c r="A145" s="473" t="s">
        <v>263</v>
      </c>
      <c r="B145" s="472"/>
      <c r="C145" s="153" t="s">
        <v>266</v>
      </c>
      <c r="D145" s="29"/>
      <c r="E145" s="29"/>
      <c r="F145" s="29"/>
      <c r="G145" s="29"/>
      <c r="H145" s="58">
        <f>(((E145*(1+Parâmetros!B11)*(1+Parâmetros!C11)*(1+Parâmetros!D11))+(F145*(1+Parâmetros!C11)*(1+Parâmetros!D11)+(G145*(1+Parâmetros!D11))))/3)*(1+Parâmetros!E11)</f>
        <v>0</v>
      </c>
      <c r="I145" s="71">
        <f>H145*(1+Parâmetros!F11)</f>
        <v>0</v>
      </c>
      <c r="J145" s="71">
        <f>I145*(1+Parâmetros!G11)</f>
        <v>0</v>
      </c>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c r="AX145" s="37"/>
      <c r="AY145" s="37"/>
      <c r="AZ145" s="37"/>
      <c r="BA145" s="37"/>
      <c r="BB145" s="37"/>
      <c r="BC145" s="37"/>
      <c r="BD145" s="37"/>
      <c r="BE145" s="37"/>
      <c r="BF145" s="37"/>
      <c r="BG145" s="37"/>
      <c r="BH145" s="37"/>
      <c r="BI145" s="37"/>
      <c r="BJ145" s="37"/>
      <c r="BK145" s="37"/>
      <c r="BL145" s="37"/>
      <c r="BM145" s="37"/>
      <c r="BN145" s="37"/>
      <c r="BO145" s="37"/>
      <c r="BP145" s="37"/>
      <c r="BQ145" s="37"/>
      <c r="BR145" s="37"/>
      <c r="BS145" s="37"/>
      <c r="BT145" s="37"/>
      <c r="BU145" s="37"/>
      <c r="BV145" s="37"/>
      <c r="BW145" s="37"/>
      <c r="BX145" s="37"/>
      <c r="BY145" s="37"/>
      <c r="BZ145" s="37"/>
      <c r="CA145" s="37"/>
      <c r="CB145" s="37"/>
      <c r="CC145" s="37"/>
      <c r="CD145" s="37"/>
      <c r="CE145" s="37"/>
      <c r="CF145" s="37"/>
      <c r="CG145" s="37"/>
      <c r="CH145" s="37"/>
      <c r="CI145" s="37"/>
      <c r="CJ145" s="37"/>
      <c r="CK145" s="37"/>
      <c r="CL145" s="37"/>
      <c r="CM145" s="37"/>
      <c r="CN145" s="37"/>
      <c r="CO145" s="37"/>
      <c r="CP145" s="37"/>
      <c r="CQ145" s="37"/>
      <c r="CR145" s="37"/>
      <c r="CS145" s="37"/>
      <c r="CT145" s="37"/>
      <c r="CU145" s="37"/>
      <c r="CV145" s="37"/>
      <c r="CW145" s="37"/>
      <c r="CX145" s="37"/>
      <c r="CY145" s="37"/>
      <c r="CZ145" s="37"/>
      <c r="DA145" s="37"/>
      <c r="DB145" s="37"/>
      <c r="DC145" s="37"/>
      <c r="DD145" s="37"/>
      <c r="DE145" s="37"/>
      <c r="DF145" s="37"/>
      <c r="DG145" s="37"/>
      <c r="DH145" s="37"/>
      <c r="DI145" s="37"/>
      <c r="DJ145" s="37"/>
      <c r="DK145" s="37"/>
      <c r="DL145" s="37"/>
      <c r="DM145" s="37"/>
      <c r="DN145" s="37"/>
      <c r="DO145" s="37"/>
      <c r="DP145" s="37"/>
      <c r="DQ145" s="37"/>
      <c r="DR145" s="37"/>
      <c r="DS145" s="37"/>
      <c r="DT145" s="37"/>
      <c r="DU145" s="37"/>
      <c r="DV145" s="37"/>
      <c r="DW145" s="37"/>
      <c r="DX145" s="37"/>
      <c r="DY145" s="37"/>
      <c r="DZ145" s="37"/>
      <c r="EA145" s="37"/>
      <c r="EB145" s="37"/>
      <c r="EC145" s="37"/>
      <c r="ED145" s="37"/>
      <c r="EE145" s="37"/>
      <c r="EF145" s="37"/>
      <c r="EG145" s="37"/>
      <c r="EH145" s="37"/>
      <c r="EI145" s="37"/>
      <c r="EJ145" s="37"/>
      <c r="EK145" s="37"/>
      <c r="EL145" s="37"/>
      <c r="EM145" s="37"/>
      <c r="EN145" s="37"/>
      <c r="EO145" s="37"/>
      <c r="EP145" s="37"/>
      <c r="EQ145" s="37"/>
      <c r="ER145" s="37"/>
      <c r="ES145" s="37"/>
      <c r="ET145" s="37"/>
      <c r="EU145" s="37"/>
      <c r="EV145" s="37"/>
      <c r="EW145" s="37"/>
      <c r="EX145" s="37"/>
      <c r="EY145" s="37"/>
      <c r="EZ145" s="37"/>
      <c r="FA145" s="37"/>
      <c r="FB145" s="37"/>
      <c r="FC145" s="37"/>
      <c r="FD145" s="37"/>
      <c r="FE145" s="37"/>
      <c r="FF145" s="37"/>
      <c r="FG145" s="37"/>
      <c r="FH145" s="37"/>
      <c r="FI145" s="37"/>
      <c r="FJ145" s="37"/>
      <c r="FK145" s="37"/>
      <c r="FL145" s="37"/>
      <c r="FM145" s="37"/>
      <c r="FN145" s="37"/>
      <c r="FO145" s="37"/>
      <c r="FP145" s="37"/>
      <c r="FQ145" s="37"/>
      <c r="FR145" s="37"/>
      <c r="FS145" s="37"/>
      <c r="FT145" s="37"/>
      <c r="FU145" s="37"/>
      <c r="FV145" s="37"/>
    </row>
    <row r="146" spans="1:178" s="6" customFormat="1" x14ac:dyDescent="0.25">
      <c r="A146" s="473" t="s">
        <v>263</v>
      </c>
      <c r="B146" s="472"/>
      <c r="C146" s="153" t="s">
        <v>267</v>
      </c>
      <c r="D146" s="33"/>
      <c r="E146" s="33"/>
      <c r="F146" s="33"/>
      <c r="G146" s="33"/>
      <c r="H146" s="58">
        <f>((E146+F146+G146)/3)*(1+Parâmetros!E11)</f>
        <v>0</v>
      </c>
      <c r="I146" s="58">
        <f>((F146+G146+H146)/3)*(1+Parâmetros!F11)</f>
        <v>0</v>
      </c>
      <c r="J146" s="58">
        <f>((G146+H146+I146)/3)*(1+Parâmetros!G11)</f>
        <v>0</v>
      </c>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c r="BF146" s="37"/>
      <c r="BG146" s="37"/>
      <c r="BH146" s="37"/>
      <c r="BI146" s="37"/>
      <c r="BJ146" s="37"/>
      <c r="BK146" s="37"/>
      <c r="BL146" s="37"/>
      <c r="BM146" s="37"/>
      <c r="BN146" s="37"/>
      <c r="BO146" s="37"/>
      <c r="BP146" s="37"/>
      <c r="BQ146" s="37"/>
      <c r="BR146" s="37"/>
      <c r="BS146" s="37"/>
      <c r="BT146" s="37"/>
      <c r="BU146" s="37"/>
      <c r="BV146" s="37"/>
      <c r="BW146" s="37"/>
      <c r="BX146" s="37"/>
      <c r="BY146" s="37"/>
      <c r="BZ146" s="37"/>
      <c r="CA146" s="37"/>
      <c r="CB146" s="37"/>
      <c r="CC146" s="37"/>
      <c r="CD146" s="37"/>
      <c r="CE146" s="37"/>
      <c r="CF146" s="37"/>
      <c r="CG146" s="37"/>
      <c r="CH146" s="37"/>
      <c r="CI146" s="37"/>
      <c r="CJ146" s="37"/>
      <c r="CK146" s="37"/>
      <c r="CL146" s="37"/>
      <c r="CM146" s="37"/>
      <c r="CN146" s="37"/>
      <c r="CO146" s="37"/>
      <c r="CP146" s="37"/>
      <c r="CQ146" s="37"/>
      <c r="CR146" s="37"/>
      <c r="CS146" s="37"/>
      <c r="CT146" s="37"/>
      <c r="CU146" s="37"/>
      <c r="CV146" s="37"/>
      <c r="CW146" s="37"/>
      <c r="CX146" s="37"/>
      <c r="CY146" s="37"/>
      <c r="CZ146" s="37"/>
      <c r="DA146" s="37"/>
      <c r="DB146" s="37"/>
      <c r="DC146" s="37"/>
      <c r="DD146" s="37"/>
      <c r="DE146" s="37"/>
      <c r="DF146" s="37"/>
      <c r="DG146" s="37"/>
      <c r="DH146" s="37"/>
      <c r="DI146" s="37"/>
      <c r="DJ146" s="37"/>
      <c r="DK146" s="37"/>
      <c r="DL146" s="37"/>
      <c r="DM146" s="37"/>
      <c r="DN146" s="37"/>
      <c r="DO146" s="37"/>
      <c r="DP146" s="37"/>
      <c r="DQ146" s="37"/>
      <c r="DR146" s="37"/>
      <c r="DS146" s="37"/>
      <c r="DT146" s="37"/>
      <c r="DU146" s="37"/>
      <c r="DV146" s="37"/>
      <c r="DW146" s="37"/>
      <c r="DX146" s="37"/>
      <c r="DY146" s="37"/>
      <c r="DZ146" s="37"/>
      <c r="EA146" s="37"/>
      <c r="EB146" s="37"/>
      <c r="EC146" s="37"/>
      <c r="ED146" s="37"/>
      <c r="EE146" s="37"/>
      <c r="EF146" s="37"/>
      <c r="EG146" s="37"/>
      <c r="EH146" s="37"/>
      <c r="EI146" s="37"/>
      <c r="EJ146" s="37"/>
      <c r="EK146" s="37"/>
      <c r="EL146" s="37"/>
      <c r="EM146" s="37"/>
      <c r="EN146" s="37"/>
      <c r="EO146" s="37"/>
      <c r="EP146" s="37"/>
      <c r="EQ146" s="37"/>
      <c r="ER146" s="37"/>
      <c r="ES146" s="37"/>
      <c r="ET146" s="37"/>
      <c r="EU146" s="37"/>
      <c r="EV146" s="37"/>
      <c r="EW146" s="37"/>
      <c r="EX146" s="37"/>
      <c r="EY146" s="37"/>
      <c r="EZ146" s="37"/>
      <c r="FA146" s="37"/>
      <c r="FB146" s="37"/>
      <c r="FC146" s="37"/>
      <c r="FD146" s="37"/>
      <c r="FE146" s="37"/>
      <c r="FF146" s="37"/>
      <c r="FG146" s="37"/>
      <c r="FH146" s="37"/>
      <c r="FI146" s="37"/>
      <c r="FJ146" s="37"/>
      <c r="FK146" s="37"/>
      <c r="FL146" s="37"/>
      <c r="FM146" s="37"/>
      <c r="FN146" s="37"/>
      <c r="FO146" s="37"/>
      <c r="FP146" s="37"/>
      <c r="FQ146" s="37"/>
      <c r="FR146" s="37"/>
      <c r="FS146" s="37"/>
      <c r="FT146" s="37"/>
      <c r="FU146" s="37"/>
      <c r="FV146" s="37"/>
    </row>
    <row r="147" spans="1:178" s="6" customFormat="1" x14ac:dyDescent="0.25">
      <c r="A147" s="473" t="s">
        <v>268</v>
      </c>
      <c r="B147" s="472"/>
      <c r="C147" s="153" t="s">
        <v>269</v>
      </c>
      <c r="D147" s="33"/>
      <c r="E147" s="33"/>
      <c r="F147" s="33"/>
      <c r="G147" s="33"/>
      <c r="H147" s="58">
        <f>((E147+F147+G147)/3)*(1+Parâmetros!E11)</f>
        <v>0</v>
      </c>
      <c r="I147" s="58">
        <f>((F147+G147+H147)/3)*(1+Parâmetros!F11)</f>
        <v>0</v>
      </c>
      <c r="J147" s="58">
        <f>((G147+H147+I147)/3)*(1+Parâmetros!G11)</f>
        <v>0</v>
      </c>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c r="AX147" s="37"/>
      <c r="AY147" s="37"/>
      <c r="AZ147" s="37"/>
      <c r="BA147" s="37"/>
      <c r="BB147" s="37"/>
      <c r="BC147" s="37"/>
      <c r="BD147" s="37"/>
      <c r="BE147" s="37"/>
      <c r="BF147" s="37"/>
      <c r="BG147" s="37"/>
      <c r="BH147" s="37"/>
      <c r="BI147" s="37"/>
      <c r="BJ147" s="37"/>
      <c r="BK147" s="37"/>
      <c r="BL147" s="37"/>
      <c r="BM147" s="37"/>
      <c r="BN147" s="37"/>
      <c r="BO147" s="37"/>
      <c r="BP147" s="37"/>
      <c r="BQ147" s="37"/>
      <c r="BR147" s="37"/>
      <c r="BS147" s="37"/>
      <c r="BT147" s="37"/>
      <c r="BU147" s="37"/>
      <c r="BV147" s="37"/>
      <c r="BW147" s="37"/>
      <c r="BX147" s="37"/>
      <c r="BY147" s="37"/>
      <c r="BZ147" s="37"/>
      <c r="CA147" s="37"/>
      <c r="CB147" s="37"/>
      <c r="CC147" s="37"/>
      <c r="CD147" s="37"/>
      <c r="CE147" s="37"/>
      <c r="CF147" s="37"/>
      <c r="CG147" s="37"/>
      <c r="CH147" s="37"/>
      <c r="CI147" s="37"/>
      <c r="CJ147" s="37"/>
      <c r="CK147" s="37"/>
      <c r="CL147" s="37"/>
      <c r="CM147" s="37"/>
      <c r="CN147" s="37"/>
      <c r="CO147" s="37"/>
      <c r="CP147" s="37"/>
      <c r="CQ147" s="37"/>
      <c r="CR147" s="37"/>
      <c r="CS147" s="37"/>
      <c r="CT147" s="37"/>
      <c r="CU147" s="37"/>
      <c r="CV147" s="37"/>
      <c r="CW147" s="37"/>
      <c r="CX147" s="37"/>
      <c r="CY147" s="37"/>
      <c r="CZ147" s="37"/>
      <c r="DA147" s="37"/>
      <c r="DB147" s="37"/>
      <c r="DC147" s="37"/>
      <c r="DD147" s="37"/>
      <c r="DE147" s="37"/>
      <c r="DF147" s="37"/>
      <c r="DG147" s="37"/>
      <c r="DH147" s="37"/>
      <c r="DI147" s="37"/>
      <c r="DJ147" s="37"/>
      <c r="DK147" s="37"/>
      <c r="DL147" s="37"/>
      <c r="DM147" s="37"/>
      <c r="DN147" s="37"/>
      <c r="DO147" s="37"/>
      <c r="DP147" s="37"/>
      <c r="DQ147" s="37"/>
      <c r="DR147" s="37"/>
      <c r="DS147" s="37"/>
      <c r="DT147" s="37"/>
      <c r="DU147" s="37"/>
      <c r="DV147" s="37"/>
      <c r="DW147" s="37"/>
      <c r="DX147" s="37"/>
      <c r="DY147" s="37"/>
      <c r="DZ147" s="37"/>
      <c r="EA147" s="37"/>
      <c r="EB147" s="37"/>
      <c r="EC147" s="37"/>
      <c r="ED147" s="37"/>
      <c r="EE147" s="37"/>
      <c r="EF147" s="37"/>
      <c r="EG147" s="37"/>
      <c r="EH147" s="37"/>
      <c r="EI147" s="37"/>
      <c r="EJ147" s="37"/>
      <c r="EK147" s="37"/>
      <c r="EL147" s="37"/>
      <c r="EM147" s="37"/>
      <c r="EN147" s="37"/>
      <c r="EO147" s="37"/>
      <c r="EP147" s="37"/>
      <c r="EQ147" s="37"/>
      <c r="ER147" s="37"/>
      <c r="ES147" s="37"/>
      <c r="ET147" s="37"/>
      <c r="EU147" s="37"/>
      <c r="EV147" s="37"/>
      <c r="EW147" s="37"/>
      <c r="EX147" s="37"/>
      <c r="EY147" s="37"/>
      <c r="EZ147" s="37"/>
      <c r="FA147" s="37"/>
      <c r="FB147" s="37"/>
      <c r="FC147" s="37"/>
      <c r="FD147" s="37"/>
      <c r="FE147" s="37"/>
      <c r="FF147" s="37"/>
      <c r="FG147" s="37"/>
      <c r="FH147" s="37"/>
      <c r="FI147" s="37"/>
      <c r="FJ147" s="37"/>
      <c r="FK147" s="37"/>
      <c r="FL147" s="37"/>
      <c r="FM147" s="37"/>
      <c r="FN147" s="37"/>
      <c r="FO147" s="37"/>
      <c r="FP147" s="37"/>
      <c r="FQ147" s="37"/>
      <c r="FR147" s="37"/>
      <c r="FS147" s="37"/>
      <c r="FT147" s="37"/>
      <c r="FU147" s="37"/>
      <c r="FV147" s="37"/>
    </row>
    <row r="148" spans="1:178" s="7" customFormat="1" ht="29.25" customHeight="1" thickBot="1" x14ac:dyDescent="0.3">
      <c r="A148" s="137"/>
      <c r="B148" s="137"/>
      <c r="C148" s="41" t="s">
        <v>270</v>
      </c>
      <c r="D148" s="42">
        <f t="shared" ref="D148:J148" si="32">D115+D131</f>
        <v>15345478.35</v>
      </c>
      <c r="E148" s="42">
        <f t="shared" si="32"/>
        <v>18724076.149999999</v>
      </c>
      <c r="F148" s="42">
        <f t="shared" si="32"/>
        <v>25077758.280000001</v>
      </c>
      <c r="G148" s="42">
        <f t="shared" si="32"/>
        <v>26873738.220053762</v>
      </c>
      <c r="H148" s="42">
        <f t="shared" si="32"/>
        <v>28172999.997433186</v>
      </c>
      <c r="I148" s="42">
        <f t="shared" si="32"/>
        <v>33176469.604201674</v>
      </c>
      <c r="J148" s="42">
        <f t="shared" si="32"/>
        <v>38001067.445162117</v>
      </c>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c r="BC148" s="39"/>
      <c r="BD148" s="39"/>
      <c r="BE148" s="39"/>
      <c r="BF148" s="39"/>
      <c r="BG148" s="39"/>
      <c r="BH148" s="39"/>
      <c r="BI148" s="39"/>
      <c r="BJ148" s="39"/>
      <c r="BK148" s="39"/>
      <c r="BL148" s="39"/>
      <c r="BM148" s="39"/>
      <c r="BN148" s="39"/>
      <c r="BO148" s="39"/>
      <c r="BP148" s="39"/>
      <c r="BQ148" s="39"/>
      <c r="BR148" s="39"/>
      <c r="BS148" s="39"/>
      <c r="BT148" s="39"/>
      <c r="BU148" s="39"/>
      <c r="BV148" s="39"/>
      <c r="BW148" s="39"/>
      <c r="BX148" s="39"/>
      <c r="BY148" s="39"/>
      <c r="BZ148" s="39"/>
      <c r="CA148" s="39"/>
      <c r="CB148" s="39"/>
      <c r="CC148" s="39"/>
      <c r="CD148" s="39"/>
      <c r="CE148" s="39"/>
      <c r="CF148" s="39"/>
      <c r="CG148" s="39"/>
      <c r="CH148" s="39"/>
      <c r="CI148" s="39"/>
      <c r="CJ148" s="39"/>
      <c r="CK148" s="39"/>
      <c r="CL148" s="39"/>
      <c r="CM148" s="39"/>
      <c r="CN148" s="39"/>
      <c r="CO148" s="39"/>
      <c r="CP148" s="39"/>
      <c r="CQ148" s="39"/>
      <c r="CR148" s="39"/>
      <c r="CS148" s="39"/>
      <c r="CT148" s="39"/>
      <c r="CU148" s="39"/>
      <c r="CV148" s="39"/>
      <c r="CW148" s="39"/>
      <c r="CX148" s="39"/>
      <c r="CY148" s="39"/>
      <c r="CZ148" s="39"/>
      <c r="DA148" s="39"/>
      <c r="DB148" s="39"/>
      <c r="DC148" s="39"/>
      <c r="DD148" s="39"/>
      <c r="DE148" s="39"/>
      <c r="DF148" s="39"/>
      <c r="DG148" s="39"/>
      <c r="DH148" s="39"/>
      <c r="DI148" s="39"/>
      <c r="DJ148" s="39"/>
      <c r="DK148" s="39"/>
      <c r="DL148" s="39"/>
      <c r="DM148" s="39"/>
      <c r="DN148" s="39"/>
      <c r="DO148" s="39"/>
      <c r="DP148" s="39"/>
      <c r="DQ148" s="39"/>
      <c r="DR148" s="39"/>
      <c r="DS148" s="39"/>
      <c r="DT148" s="39"/>
      <c r="DU148" s="39"/>
      <c r="DV148" s="39"/>
      <c r="DW148" s="39"/>
      <c r="DX148" s="39"/>
      <c r="DY148" s="39"/>
      <c r="DZ148" s="39"/>
      <c r="EA148" s="39"/>
      <c r="EB148" s="39"/>
      <c r="EC148" s="39"/>
      <c r="ED148" s="39"/>
      <c r="EE148" s="39"/>
      <c r="EF148" s="39"/>
      <c r="EG148" s="39"/>
      <c r="EH148" s="39"/>
      <c r="EI148" s="39"/>
      <c r="EJ148" s="39"/>
      <c r="EK148" s="39"/>
      <c r="EL148" s="39"/>
      <c r="EM148" s="39"/>
      <c r="EN148" s="39"/>
      <c r="EO148" s="39"/>
      <c r="EP148" s="39"/>
      <c r="EQ148" s="39"/>
      <c r="ER148" s="39"/>
      <c r="ES148" s="39"/>
      <c r="ET148" s="39"/>
      <c r="EU148" s="39"/>
      <c r="EV148" s="39"/>
      <c r="EW148" s="39"/>
      <c r="EX148" s="39"/>
      <c r="EY148" s="39"/>
      <c r="EZ148" s="39"/>
      <c r="FA148" s="39"/>
      <c r="FB148" s="39"/>
      <c r="FC148" s="39"/>
      <c r="FD148" s="39"/>
      <c r="FE148" s="39"/>
      <c r="FF148" s="39"/>
      <c r="FG148" s="39"/>
      <c r="FH148" s="39"/>
      <c r="FI148" s="39"/>
      <c r="FJ148" s="39"/>
      <c r="FK148" s="39"/>
      <c r="FL148" s="39"/>
      <c r="FM148" s="39"/>
      <c r="FN148" s="39"/>
      <c r="FO148" s="39"/>
      <c r="FP148" s="39"/>
      <c r="FQ148" s="39"/>
      <c r="FR148" s="39"/>
      <c r="FS148" s="39"/>
      <c r="FT148" s="39"/>
      <c r="FU148" s="39"/>
      <c r="FV148" s="39"/>
    </row>
    <row r="149" spans="1:178" s="1" customFormat="1" ht="17.45" hidden="1" customHeight="1" x14ac:dyDescent="0.25">
      <c r="A149" s="16"/>
      <c r="B149" s="146"/>
      <c r="C149" s="20" t="s">
        <v>271</v>
      </c>
      <c r="D149" s="36"/>
      <c r="E149" s="427"/>
      <c r="F149" s="427"/>
      <c r="G149" s="427"/>
      <c r="H149" s="427"/>
      <c r="I149" s="427"/>
      <c r="J149" s="427"/>
    </row>
    <row r="150" spans="1:178" s="1" customFormat="1" ht="17.45" hidden="1" customHeight="1" x14ac:dyDescent="0.25">
      <c r="A150" s="17"/>
      <c r="B150" s="139"/>
      <c r="C150" s="18" t="s">
        <v>272</v>
      </c>
      <c r="D150" s="19" t="s">
        <v>273</v>
      </c>
      <c r="E150" s="19" t="e">
        <f>IF(#REF!&gt;0,"REALIZADO","PROJETADO")</f>
        <v>#REF!</v>
      </c>
      <c r="F150" s="19" t="e">
        <f>IF(#REF!&gt;0,"REALIZADO","PROJETADO")</f>
        <v>#REF!</v>
      </c>
      <c r="G150" s="19" t="e">
        <f>IF(#REF!&gt;0,"REALIZADO","PROJETADO")</f>
        <v>#REF!</v>
      </c>
      <c r="H150" s="19" t="s">
        <v>22</v>
      </c>
      <c r="I150" s="19"/>
      <c r="J150" s="19" t="s">
        <v>22</v>
      </c>
    </row>
    <row r="151" spans="1:178" s="1" customFormat="1" ht="17.25" hidden="1" customHeight="1" x14ac:dyDescent="0.25">
      <c r="A151" s="17"/>
      <c r="B151" s="139"/>
      <c r="C151" s="428" t="s">
        <v>274</v>
      </c>
      <c r="D151" s="429">
        <v>1999</v>
      </c>
      <c r="E151" s="429">
        <v>2000</v>
      </c>
      <c r="F151" s="429">
        <v>2001</v>
      </c>
      <c r="G151" s="429">
        <v>2002</v>
      </c>
      <c r="H151" s="429">
        <v>2003</v>
      </c>
      <c r="I151" s="429"/>
      <c r="J151" s="429">
        <v>2004</v>
      </c>
    </row>
    <row r="152" spans="1:178" s="1" customFormat="1" ht="17.45" hidden="1" customHeight="1" x14ac:dyDescent="0.25">
      <c r="A152" s="17"/>
      <c r="B152" s="139"/>
      <c r="C152" s="20"/>
      <c r="D152" s="21"/>
      <c r="E152" s="21"/>
      <c r="F152" s="21"/>
      <c r="G152" s="21"/>
      <c r="H152" s="21"/>
      <c r="I152" s="21"/>
      <c r="J152" s="21"/>
    </row>
    <row r="153" spans="1:178" s="1" customFormat="1" ht="16.5" hidden="1" thickBot="1" x14ac:dyDescent="0.3">
      <c r="A153" s="17"/>
      <c r="B153" s="139"/>
      <c r="C153" s="20" t="s">
        <v>275</v>
      </c>
      <c r="D153" s="22" t="e">
        <f>D8-#REF!-D14+D157-#REF!</f>
        <v>#REF!</v>
      </c>
      <c r="E153" s="22" t="e">
        <f>E8-#REF!-E14+E157-#REF!</f>
        <v>#REF!</v>
      </c>
      <c r="F153" s="22" t="e">
        <f>F8-#REF!-F14+F157-#REF!</f>
        <v>#REF!</v>
      </c>
      <c r="G153" s="22" t="e">
        <f>G8-#REF!-G14+G157-#REF!</f>
        <v>#REF!</v>
      </c>
      <c r="H153" s="22" t="e">
        <f>H8-#REF!-H14+H157-#REF!</f>
        <v>#REF!</v>
      </c>
      <c r="I153" s="22"/>
      <c r="J153" s="22" t="e">
        <f>J8-#REF!-J14+J157-#REF!</f>
        <v>#REF!</v>
      </c>
    </row>
    <row r="154" spans="1:178" s="1" customFormat="1" ht="16.5" hidden="1" thickBot="1" x14ac:dyDescent="0.3">
      <c r="A154" s="17"/>
      <c r="B154" s="139"/>
      <c r="C154" s="20" t="s">
        <v>276</v>
      </c>
      <c r="D154" s="22">
        <f>D9</f>
        <v>1287075.2999999998</v>
      </c>
      <c r="E154" s="22">
        <f>E9</f>
        <v>1308349.51</v>
      </c>
      <c r="F154" s="22">
        <f>F9</f>
        <v>2108529.75</v>
      </c>
      <c r="G154" s="22">
        <f>G9</f>
        <v>2292879.7778333332</v>
      </c>
      <c r="H154" s="22">
        <f>H9</f>
        <v>2530457.0761140808</v>
      </c>
      <c r="I154" s="22"/>
      <c r="J154" s="22">
        <f>J9</f>
        <v>3868693.4193367837</v>
      </c>
    </row>
    <row r="155" spans="1:178" s="1" customFormat="1" ht="16.5" hidden="1" thickBot="1" x14ac:dyDescent="0.3">
      <c r="A155" s="17"/>
      <c r="B155" s="139"/>
      <c r="C155" s="20" t="s">
        <v>277</v>
      </c>
      <c r="D155" s="22" t="e">
        <f>D18+D19+D20+#REF!+#REF!+#REF!+#REF!</f>
        <v>#REF!</v>
      </c>
      <c r="E155" s="22" t="e">
        <f>E18+E19+E20+#REF!+#REF!+#REF!+#REF!</f>
        <v>#REF!</v>
      </c>
      <c r="F155" s="22" t="e">
        <f>F18+F19+F20+#REF!+#REF!+#REF!+#REF!</f>
        <v>#REF!</v>
      </c>
      <c r="G155" s="22" t="e">
        <f>G18+G19+G20+#REF!+#REF!+#REF!+#REF!</f>
        <v>#REF!</v>
      </c>
      <c r="H155" s="22" t="e">
        <f>H18+H19+H20+#REF!+#REF!+#REF!+#REF!</f>
        <v>#REF!</v>
      </c>
      <c r="I155" s="22"/>
      <c r="J155" s="22" t="e">
        <f>J18+J19+J20+#REF!+#REF!+#REF!+#REF!</f>
        <v>#REF!</v>
      </c>
    </row>
    <row r="156" spans="1:178" s="1" customFormat="1" ht="16.5" hidden="1" thickBot="1" x14ac:dyDescent="0.3">
      <c r="A156" s="17"/>
      <c r="B156" s="139"/>
      <c r="C156" s="20" t="s">
        <v>278</v>
      </c>
      <c r="D156" s="22" t="e">
        <f>#REF!</f>
        <v>#REF!</v>
      </c>
      <c r="E156" s="22" t="e">
        <f>#REF!</f>
        <v>#REF!</v>
      </c>
      <c r="F156" s="22" t="e">
        <f>#REF!</f>
        <v>#REF!</v>
      </c>
      <c r="G156" s="22" t="e">
        <f>#REF!</f>
        <v>#REF!</v>
      </c>
      <c r="H156" s="22" t="e">
        <f>#REF!</f>
        <v>#REF!</v>
      </c>
      <c r="I156" s="22"/>
      <c r="J156" s="22" t="e">
        <f>#REF!</f>
        <v>#REF!</v>
      </c>
    </row>
    <row r="157" spans="1:178" s="1" customFormat="1" ht="16.5" hidden="1" thickBot="1" x14ac:dyDescent="0.3">
      <c r="A157" s="17"/>
      <c r="B157" s="139"/>
      <c r="C157" s="20" t="s">
        <v>279</v>
      </c>
      <c r="D157" s="22" t="e">
        <f>#REF!-#REF!</f>
        <v>#REF!</v>
      </c>
      <c r="E157" s="22" t="e">
        <f>#REF!-#REF!</f>
        <v>#REF!</v>
      </c>
      <c r="F157" s="22" t="e">
        <f>#REF!-#REF!</f>
        <v>#REF!</v>
      </c>
      <c r="G157" s="22" t="e">
        <f>#REF!-#REF!</f>
        <v>#REF!</v>
      </c>
      <c r="H157" s="22" t="e">
        <f>#REF!-#REF!</f>
        <v>#REF!</v>
      </c>
      <c r="I157" s="22"/>
      <c r="J157" s="22" t="e">
        <f>#REF!-#REF!</f>
        <v>#REF!</v>
      </c>
    </row>
    <row r="158" spans="1:178" s="1" customFormat="1" ht="16.5" hidden="1" thickBot="1" x14ac:dyDescent="0.3">
      <c r="A158" s="17"/>
      <c r="B158" s="139"/>
      <c r="C158" s="20" t="s">
        <v>280</v>
      </c>
      <c r="D158" s="22" t="e">
        <f>#REF!</f>
        <v>#REF!</v>
      </c>
      <c r="E158" s="22" t="e">
        <f>#REF!</f>
        <v>#REF!</v>
      </c>
      <c r="F158" s="22" t="e">
        <f>#REF!</f>
        <v>#REF!</v>
      </c>
      <c r="G158" s="22" t="e">
        <f>#REF!</f>
        <v>#REF!</v>
      </c>
      <c r="H158" s="22" t="e">
        <f>#REF!</f>
        <v>#REF!</v>
      </c>
      <c r="I158" s="22"/>
      <c r="J158" s="22" t="e">
        <f>#REF!</f>
        <v>#REF!</v>
      </c>
    </row>
    <row r="159" spans="1:178" s="1" customFormat="1" ht="16.5" hidden="1" thickBot="1" x14ac:dyDescent="0.3">
      <c r="A159" s="17"/>
      <c r="B159" s="139"/>
      <c r="C159" s="20" t="s">
        <v>281</v>
      </c>
      <c r="D159" s="22" t="e">
        <f>#REF!</f>
        <v>#REF!</v>
      </c>
      <c r="E159" s="22" t="e">
        <f>#REF!</f>
        <v>#REF!</v>
      </c>
      <c r="F159" s="22" t="e">
        <f>#REF!</f>
        <v>#REF!</v>
      </c>
      <c r="G159" s="22" t="e">
        <f>#REF!</f>
        <v>#REF!</v>
      </c>
      <c r="H159" s="22" t="e">
        <f>#REF!</f>
        <v>#REF!</v>
      </c>
      <c r="I159" s="22"/>
      <c r="J159" s="22" t="e">
        <f>#REF!</f>
        <v>#REF!</v>
      </c>
    </row>
    <row r="160" spans="1:178" s="1" customFormat="1" ht="16.5" hidden="1" thickBot="1" x14ac:dyDescent="0.3">
      <c r="A160" s="17"/>
      <c r="B160" s="139"/>
      <c r="C160" s="20" t="s">
        <v>282</v>
      </c>
      <c r="D160" s="22" t="e">
        <f>#REF!</f>
        <v>#REF!</v>
      </c>
      <c r="E160" s="22" t="e">
        <f>#REF!</f>
        <v>#REF!</v>
      </c>
      <c r="F160" s="22" t="e">
        <f>#REF!</f>
        <v>#REF!</v>
      </c>
      <c r="G160" s="22" t="e">
        <f>#REF!</f>
        <v>#REF!</v>
      </c>
      <c r="H160" s="22" t="e">
        <f>#REF!</f>
        <v>#REF!</v>
      </c>
      <c r="I160" s="22"/>
      <c r="J160" s="22" t="e">
        <f>#REF!</f>
        <v>#REF!</v>
      </c>
    </row>
    <row r="161" spans="1:10" s="1" customFormat="1" ht="16.5" hidden="1" thickBot="1" x14ac:dyDescent="0.3">
      <c r="A161" s="17"/>
      <c r="B161" s="139"/>
      <c r="C161" s="20" t="s">
        <v>283</v>
      </c>
      <c r="D161" s="22" t="e">
        <f>#REF!</f>
        <v>#REF!</v>
      </c>
      <c r="E161" s="22" t="e">
        <f>#REF!</f>
        <v>#REF!</v>
      </c>
      <c r="F161" s="22" t="e">
        <f>#REF!</f>
        <v>#REF!</v>
      </c>
      <c r="G161" s="22" t="e">
        <f>#REF!</f>
        <v>#REF!</v>
      </c>
      <c r="H161" s="22" t="e">
        <f>#REF!</f>
        <v>#REF!</v>
      </c>
      <c r="I161" s="22"/>
      <c r="J161" s="22" t="e">
        <f>#REF!</f>
        <v>#REF!</v>
      </c>
    </row>
    <row r="162" spans="1:10" s="1" customFormat="1" ht="16.5" hidden="1" thickBot="1" x14ac:dyDescent="0.3">
      <c r="A162" s="17"/>
      <c r="B162" s="139"/>
      <c r="C162" s="20" t="s">
        <v>284</v>
      </c>
      <c r="D162" s="22" t="e">
        <f>#REF!+#REF!+D138+D139+D143+#REF!+#REF!+D148+D121+#REF!</f>
        <v>#REF!</v>
      </c>
      <c r="E162" s="22" t="e">
        <f>#REF!+#REF!+E138+E139+E143+#REF!+#REF!+E148+E121+#REF!</f>
        <v>#REF!</v>
      </c>
      <c r="F162" s="22" t="e">
        <f>#REF!+#REF!+F138+F139+F143+#REF!+#REF!+F148+F121+#REF!</f>
        <v>#REF!</v>
      </c>
      <c r="G162" s="22" t="e">
        <f>#REF!+#REF!+G138+G139+G143+#REF!+#REF!+G148+G121+#REF!</f>
        <v>#REF!</v>
      </c>
      <c r="H162" s="22" t="e">
        <f>#REF!+#REF!+H138+H139+H143+#REF!+#REF!+H148+H121+#REF!</f>
        <v>#REF!</v>
      </c>
      <c r="I162" s="22"/>
      <c r="J162" s="22" t="e">
        <f>#REF!+#REF!+J138+J139+J143+#REF!+#REF!+J148+J121+#REF!</f>
        <v>#REF!</v>
      </c>
    </row>
    <row r="163" spans="1:10" s="1" customFormat="1" ht="16.5" hidden="1" thickBot="1" x14ac:dyDescent="0.3">
      <c r="A163" s="17"/>
      <c r="B163" s="139"/>
      <c r="C163" s="20" t="s">
        <v>285</v>
      </c>
      <c r="D163" s="22" t="e">
        <f>#REF!+#REF!</f>
        <v>#REF!</v>
      </c>
      <c r="E163" s="22" t="e">
        <f>#REF!+#REF!</f>
        <v>#REF!</v>
      </c>
      <c r="F163" s="22" t="e">
        <f>#REF!+#REF!</f>
        <v>#REF!</v>
      </c>
      <c r="G163" s="22" t="e">
        <f>#REF!+#REF!</f>
        <v>#REF!</v>
      </c>
      <c r="H163" s="22" t="e">
        <f>#REF!+#REF!</f>
        <v>#REF!</v>
      </c>
      <c r="I163" s="22"/>
      <c r="J163" s="22" t="e">
        <f>#REF!+#REF!</f>
        <v>#REF!</v>
      </c>
    </row>
    <row r="164" spans="1:10" s="1" customFormat="1" ht="16.5" hidden="1" thickBot="1" x14ac:dyDescent="0.3">
      <c r="A164" s="17"/>
      <c r="B164" s="139"/>
      <c r="C164" s="20" t="s">
        <v>286</v>
      </c>
      <c r="D164" s="22">
        <f>D132+D137</f>
        <v>1355745.76</v>
      </c>
      <c r="E164" s="22">
        <f>E132+E137</f>
        <v>3391925.29</v>
      </c>
      <c r="F164" s="22">
        <f>F132+F137</f>
        <v>3618715.9299999997</v>
      </c>
      <c r="G164" s="22">
        <f>G132+G137</f>
        <v>3395827.1100000003</v>
      </c>
      <c r="H164" s="22">
        <f>H132+H137</f>
        <v>3344587.5290306602</v>
      </c>
      <c r="I164" s="22"/>
      <c r="J164" s="22">
        <f>J132+J137</f>
        <v>4417981.4980739085</v>
      </c>
    </row>
    <row r="165" spans="1:10" s="1" customFormat="1" ht="16.5" hidden="1" thickBot="1" x14ac:dyDescent="0.3">
      <c r="A165" s="17"/>
      <c r="B165" s="139"/>
      <c r="C165" s="20" t="s">
        <v>287</v>
      </c>
      <c r="D165" s="22" t="e">
        <f>#REF!</f>
        <v>#REF!</v>
      </c>
      <c r="E165" s="22" t="e">
        <f>#REF!</f>
        <v>#REF!</v>
      </c>
      <c r="F165" s="22" t="e">
        <f>#REF!</f>
        <v>#REF!</v>
      </c>
      <c r="G165" s="22" t="e">
        <f>#REF!</f>
        <v>#REF!</v>
      </c>
      <c r="H165" s="22" t="e">
        <f>#REF!</f>
        <v>#REF!</v>
      </c>
      <c r="I165" s="22"/>
      <c r="J165" s="22" t="e">
        <f>#REF!</f>
        <v>#REF!</v>
      </c>
    </row>
    <row r="166" spans="1:10" s="1" customFormat="1" ht="16.5" hidden="1" thickBot="1" x14ac:dyDescent="0.3">
      <c r="A166" s="17"/>
      <c r="B166" s="139"/>
      <c r="C166" s="20" t="s">
        <v>288</v>
      </c>
      <c r="D166" s="22" t="e">
        <f>D126+#REF!+#REF!+#REF!+#REF!+#REF!+#REF!</f>
        <v>#REF!</v>
      </c>
      <c r="E166" s="22" t="e">
        <f>E126+#REF!+#REF!+#REF!+#REF!+#REF!+#REF!</f>
        <v>#REF!</v>
      </c>
      <c r="F166" s="22" t="e">
        <f>F126+#REF!+#REF!+#REF!+#REF!+#REF!+#REF!</f>
        <v>#REF!</v>
      </c>
      <c r="G166" s="22" t="e">
        <f>G126+#REF!+#REF!+#REF!+#REF!+#REF!+#REF!</f>
        <v>#REF!</v>
      </c>
      <c r="H166" s="22" t="e">
        <f>H126+#REF!+#REF!+#REF!+#REF!+#REF!+#REF!</f>
        <v>#REF!</v>
      </c>
      <c r="I166" s="22"/>
      <c r="J166" s="22" t="e">
        <f>J126+#REF!+#REF!+#REF!+#REF!+#REF!+#REF!</f>
        <v>#REF!</v>
      </c>
    </row>
    <row r="167" spans="1:10" s="1" customFormat="1" ht="16.5" hidden="1" thickBot="1" x14ac:dyDescent="0.3">
      <c r="A167" s="17"/>
      <c r="B167" s="139"/>
      <c r="C167" s="20" t="s">
        <v>289</v>
      </c>
      <c r="D167" s="22" t="e">
        <f>#REF!</f>
        <v>#REF!</v>
      </c>
      <c r="E167" s="22" t="e">
        <f>#REF!</f>
        <v>#REF!</v>
      </c>
      <c r="F167" s="22" t="e">
        <f>#REF!</f>
        <v>#REF!</v>
      </c>
      <c r="G167" s="22" t="e">
        <f>#REF!</f>
        <v>#REF!</v>
      </c>
      <c r="H167" s="22" t="e">
        <f>#REF!</f>
        <v>#REF!</v>
      </c>
      <c r="I167" s="22"/>
      <c r="J167" s="22" t="e">
        <f>#REF!</f>
        <v>#REF!</v>
      </c>
    </row>
    <row r="168" spans="1:10" s="1" customFormat="1" ht="16.5" hidden="1" thickBot="1" x14ac:dyDescent="0.3">
      <c r="A168" s="17"/>
      <c r="B168" s="139"/>
      <c r="C168" s="20" t="s">
        <v>290</v>
      </c>
      <c r="D168" s="22" t="e">
        <f>#REF!+#REF!</f>
        <v>#REF!</v>
      </c>
      <c r="E168" s="22" t="e">
        <f>#REF!+#REF!</f>
        <v>#REF!</v>
      </c>
      <c r="F168" s="22" t="e">
        <f>#REF!+#REF!</f>
        <v>#REF!</v>
      </c>
      <c r="G168" s="22" t="e">
        <f>#REF!+#REF!</f>
        <v>#REF!</v>
      </c>
      <c r="H168" s="22" t="e">
        <f>#REF!+#REF!</f>
        <v>#REF!</v>
      </c>
      <c r="I168" s="22"/>
      <c r="J168" s="22" t="e">
        <f>#REF!+#REF!</f>
        <v>#REF!</v>
      </c>
    </row>
    <row r="169" spans="1:10" s="1" customFormat="1" ht="16.5" hidden="1" thickBot="1" x14ac:dyDescent="0.3">
      <c r="A169" s="17"/>
      <c r="B169" s="139"/>
      <c r="C169" s="20" t="s">
        <v>291</v>
      </c>
      <c r="D169" s="22" t="e">
        <f>#REF!+#REF!</f>
        <v>#REF!</v>
      </c>
      <c r="E169" s="22" t="e">
        <f>#REF!+#REF!</f>
        <v>#REF!</v>
      </c>
      <c r="F169" s="22" t="e">
        <f>#REF!+#REF!</f>
        <v>#REF!</v>
      </c>
      <c r="G169" s="22" t="e">
        <f>#REF!+#REF!</f>
        <v>#REF!</v>
      </c>
      <c r="H169" s="22" t="e">
        <f>#REF!+#REF!</f>
        <v>#REF!</v>
      </c>
      <c r="I169" s="22"/>
      <c r="J169" s="22" t="e">
        <f>#REF!+#REF!</f>
        <v>#REF!</v>
      </c>
    </row>
    <row r="170" spans="1:10" s="1" customFormat="1" ht="16.5" hidden="1" thickBot="1" x14ac:dyDescent="0.3">
      <c r="A170" s="17"/>
      <c r="B170" s="139"/>
      <c r="C170" s="20" t="s">
        <v>292</v>
      </c>
      <c r="D170" s="22" t="e">
        <f>D168+D169</f>
        <v>#REF!</v>
      </c>
      <c r="E170" s="22" t="e">
        <f t="shared" ref="E170:J170" si="33">E168+E169</f>
        <v>#REF!</v>
      </c>
      <c r="F170" s="22" t="e">
        <f t="shared" si="33"/>
        <v>#REF!</v>
      </c>
      <c r="G170" s="22" t="e">
        <f t="shared" si="33"/>
        <v>#REF!</v>
      </c>
      <c r="H170" s="22" t="e">
        <f t="shared" si="33"/>
        <v>#REF!</v>
      </c>
      <c r="I170" s="22"/>
      <c r="J170" s="22" t="e">
        <f t="shared" si="33"/>
        <v>#REF!</v>
      </c>
    </row>
    <row r="171" spans="1:10" s="1" customFormat="1" ht="16.5" hidden="1" thickBot="1" x14ac:dyDescent="0.3">
      <c r="A171" s="17"/>
      <c r="B171" s="139"/>
      <c r="C171" s="20" t="s">
        <v>293</v>
      </c>
      <c r="D171" s="22" t="e">
        <f xml:space="preserve"> ((D8+#REF!)-(D155)-((#REF!+#REF!)-D170))</f>
        <v>#REF!</v>
      </c>
      <c r="E171" s="22" t="e">
        <f xml:space="preserve"> ((E8+#REF!)-(E155)-((#REF!+#REF!)-E170))</f>
        <v>#REF!</v>
      </c>
      <c r="F171" s="22" t="e">
        <f xml:space="preserve"> ((F8+#REF!)-(F155)-((#REF!+#REF!)-F170))</f>
        <v>#REF!</v>
      </c>
      <c r="G171" s="22" t="e">
        <f xml:space="preserve"> ((G8+#REF!)-(G155)-((#REF!+#REF!)-G170))</f>
        <v>#REF!</v>
      </c>
      <c r="H171" s="22" t="e">
        <f xml:space="preserve"> ((H8+#REF!)-(H155)-((#REF!+#REF!)-H170))</f>
        <v>#REF!</v>
      </c>
      <c r="I171" s="22"/>
      <c r="J171" s="22" t="e">
        <f xml:space="preserve"> ((J8+#REF!)-(J155)-((#REF!+#REF!)-J170))</f>
        <v>#REF!</v>
      </c>
    </row>
    <row r="172" spans="1:10" s="1" customFormat="1" ht="16.5" hidden="1" thickBot="1" x14ac:dyDescent="0.3">
      <c r="A172" s="17"/>
      <c r="B172" s="139"/>
      <c r="C172" s="23" t="s">
        <v>294</v>
      </c>
      <c r="D172" s="24" t="e">
        <f>-(D171-(D168-D18-D19-D20-#REF!))</f>
        <v>#REF!</v>
      </c>
      <c r="E172" s="24" t="e">
        <f>-(E171-(E168-E18-E19-E20-#REF!))</f>
        <v>#REF!</v>
      </c>
      <c r="F172" s="24" t="e">
        <f>-(F171-(F168-F18-F19-F20-#REF!))</f>
        <v>#REF!</v>
      </c>
      <c r="G172" s="24" t="e">
        <f>-(G171-(G168-G18-G19-G20-#REF!))</f>
        <v>#REF!</v>
      </c>
      <c r="H172" s="24" t="e">
        <f>-(H171-(H168-H18-H19-H20-#REF!))</f>
        <v>#REF!</v>
      </c>
      <c r="I172" s="24"/>
      <c r="J172" s="24" t="e">
        <f>-(J171-(J168-J18-J19-J20-#REF!))</f>
        <v>#REF!</v>
      </c>
    </row>
    <row r="173" spans="1:10" s="1" customFormat="1" ht="16.5" thickTop="1" x14ac:dyDescent="0.25">
      <c r="A173" s="17"/>
      <c r="B173" s="139"/>
      <c r="C173" s="25"/>
      <c r="D173" s="25"/>
      <c r="E173" s="25"/>
      <c r="F173" s="25"/>
      <c r="G173" s="25"/>
      <c r="H173" s="25"/>
      <c r="I173" s="25"/>
      <c r="J173" s="25"/>
    </row>
    <row r="174" spans="1:10" s="1" customFormat="1" ht="38.25" customHeight="1" x14ac:dyDescent="0.25">
      <c r="A174" s="480" t="s">
        <v>295</v>
      </c>
      <c r="B174" s="481"/>
      <c r="C174" s="481"/>
      <c r="D174" s="481"/>
      <c r="E174" s="481"/>
      <c r="F174" s="481"/>
      <c r="G174" s="481"/>
      <c r="H174" s="481"/>
      <c r="I174" s="481"/>
      <c r="J174" s="2"/>
    </row>
    <row r="175" spans="1:10" s="1" customFormat="1" x14ac:dyDescent="0.25">
      <c r="B175" s="140"/>
      <c r="C175" s="2"/>
      <c r="D175" s="2"/>
      <c r="E175" s="2"/>
      <c r="F175" s="2"/>
      <c r="G175" s="2"/>
      <c r="H175" s="2"/>
      <c r="I175" s="2"/>
      <c r="J175" s="2"/>
    </row>
    <row r="176" spans="1:10" s="1" customFormat="1" x14ac:dyDescent="0.25">
      <c r="B176" s="140"/>
      <c r="C176" s="2"/>
      <c r="D176" s="2"/>
      <c r="E176" s="2"/>
      <c r="F176" s="2"/>
      <c r="G176" s="2"/>
      <c r="H176" s="2"/>
      <c r="I176" s="2"/>
      <c r="J176" s="2"/>
    </row>
    <row r="177" spans="2:10" s="1" customFormat="1" x14ac:dyDescent="0.25">
      <c r="B177" s="140"/>
      <c r="C177" s="2"/>
      <c r="D177" s="2"/>
      <c r="E177" s="2"/>
      <c r="F177" s="2"/>
      <c r="G177" s="2"/>
      <c r="H177" s="2"/>
      <c r="I177" s="2"/>
      <c r="J177" s="2"/>
    </row>
    <row r="178" spans="2:10" s="1" customFormat="1" x14ac:dyDescent="0.25">
      <c r="B178" s="140"/>
      <c r="D178" s="2"/>
      <c r="E178" s="2"/>
      <c r="F178" s="2"/>
      <c r="G178" s="2"/>
      <c r="H178" s="2"/>
      <c r="I178" s="2"/>
      <c r="J178" s="2"/>
    </row>
    <row r="179" spans="2:10" s="1" customFormat="1" x14ac:dyDescent="0.25">
      <c r="B179" s="140"/>
      <c r="C179" s="2"/>
      <c r="D179" s="2"/>
      <c r="E179" s="2"/>
      <c r="F179" s="2"/>
      <c r="G179" s="2"/>
      <c r="H179" s="2"/>
      <c r="I179" s="2"/>
      <c r="J179" s="2"/>
    </row>
    <row r="180" spans="2:10" s="1" customFormat="1" x14ac:dyDescent="0.25">
      <c r="B180" s="140"/>
      <c r="C180" s="2"/>
      <c r="D180" s="2"/>
      <c r="E180" s="2"/>
      <c r="F180" s="2"/>
      <c r="G180" s="2"/>
      <c r="H180" s="2"/>
      <c r="I180" s="2"/>
      <c r="J180" s="2"/>
    </row>
    <row r="181" spans="2:10" s="1" customFormat="1" x14ac:dyDescent="0.25">
      <c r="B181" s="140"/>
      <c r="C181" s="2"/>
      <c r="D181" s="2"/>
      <c r="E181" s="2"/>
      <c r="F181" s="2"/>
      <c r="G181" s="2"/>
      <c r="H181" s="2"/>
      <c r="I181" s="2"/>
      <c r="J181" s="2"/>
    </row>
    <row r="182" spans="2:10" s="1" customFormat="1" x14ac:dyDescent="0.25">
      <c r="B182" s="140"/>
      <c r="C182" s="2"/>
      <c r="D182" s="2"/>
      <c r="E182" s="2"/>
      <c r="F182" s="2"/>
      <c r="G182" s="2"/>
      <c r="H182" s="2"/>
      <c r="I182" s="2"/>
      <c r="J182" s="2"/>
    </row>
    <row r="183" spans="2:10" s="1" customFormat="1" x14ac:dyDescent="0.25">
      <c r="B183" s="140"/>
      <c r="C183" s="2"/>
      <c r="D183" s="2"/>
      <c r="E183" s="2"/>
      <c r="F183" s="2"/>
      <c r="G183" s="2"/>
      <c r="H183" s="2"/>
      <c r="I183" s="2"/>
      <c r="J183" s="2"/>
    </row>
    <row r="184" spans="2:10" s="1" customFormat="1" x14ac:dyDescent="0.25">
      <c r="B184" s="140"/>
      <c r="C184" s="2"/>
      <c r="D184" s="2"/>
      <c r="E184" s="2"/>
      <c r="F184" s="2"/>
      <c r="G184" s="2"/>
      <c r="H184" s="2"/>
      <c r="I184" s="2"/>
      <c r="J184" s="2"/>
    </row>
    <row r="185" spans="2:10" s="1" customFormat="1" ht="19.149999999999999" customHeight="1" x14ac:dyDescent="0.25">
      <c r="B185" s="140"/>
      <c r="C185" s="2"/>
      <c r="D185" s="2"/>
      <c r="E185" s="2"/>
      <c r="F185" s="2"/>
      <c r="G185" s="2"/>
      <c r="H185" s="2"/>
      <c r="I185" s="2"/>
      <c r="J185" s="2"/>
    </row>
    <row r="186" spans="2:10" s="1" customFormat="1" x14ac:dyDescent="0.25">
      <c r="B186" s="140"/>
      <c r="C186" s="2"/>
      <c r="D186" s="2"/>
      <c r="E186" s="2"/>
      <c r="F186" s="2"/>
      <c r="G186" s="2"/>
      <c r="H186" s="2"/>
      <c r="I186" s="2"/>
      <c r="J186" s="2"/>
    </row>
    <row r="187" spans="2:10" s="1" customFormat="1" x14ac:dyDescent="0.25">
      <c r="B187" s="140"/>
      <c r="C187" s="2"/>
      <c r="D187" s="2"/>
      <c r="E187" s="2"/>
      <c r="F187" s="2"/>
      <c r="G187" s="2"/>
      <c r="H187" s="2"/>
      <c r="I187" s="2"/>
      <c r="J187" s="2"/>
    </row>
    <row r="188" spans="2:10" s="1" customFormat="1" x14ac:dyDescent="0.25">
      <c r="B188" s="140"/>
      <c r="C188" s="2"/>
      <c r="D188" s="2"/>
      <c r="E188" s="2"/>
      <c r="F188" s="2"/>
      <c r="G188" s="2"/>
      <c r="H188" s="2"/>
      <c r="I188" s="2"/>
      <c r="J188" s="2"/>
    </row>
    <row r="189" spans="2:10" s="1" customFormat="1" x14ac:dyDescent="0.25">
      <c r="B189" s="140"/>
      <c r="C189" s="2"/>
      <c r="D189" s="2"/>
      <c r="E189" s="2"/>
      <c r="F189" s="2"/>
      <c r="G189" s="2"/>
      <c r="H189" s="2"/>
      <c r="I189" s="2"/>
      <c r="J189" s="2"/>
    </row>
    <row r="190" spans="2:10" s="1" customFormat="1" x14ac:dyDescent="0.25">
      <c r="B190" s="140"/>
      <c r="C190" s="2"/>
      <c r="D190" s="2"/>
      <c r="E190" s="2"/>
      <c r="F190" s="2"/>
      <c r="G190" s="2"/>
      <c r="H190" s="2"/>
      <c r="I190" s="2"/>
      <c r="J190" s="2"/>
    </row>
    <row r="191" spans="2:10" s="1" customFormat="1" x14ac:dyDescent="0.25">
      <c r="B191" s="140"/>
      <c r="C191" s="2"/>
      <c r="D191" s="2"/>
      <c r="E191" s="2"/>
      <c r="F191" s="2"/>
      <c r="G191" s="2"/>
      <c r="H191" s="2"/>
      <c r="I191" s="2"/>
      <c r="J191" s="2"/>
    </row>
    <row r="192" spans="2:10" s="2" customFormat="1" x14ac:dyDescent="0.25">
      <c r="B192" s="140"/>
      <c r="D192" s="4"/>
      <c r="E192" s="4"/>
      <c r="F192" s="4"/>
      <c r="G192" s="4"/>
      <c r="H192" s="4"/>
      <c r="I192" s="4"/>
      <c r="J192" s="4"/>
    </row>
    <row r="193" spans="2:2" s="1" customFormat="1" x14ac:dyDescent="0.25">
      <c r="B193" s="140"/>
    </row>
    <row r="194" spans="2:2" s="1" customFormat="1" x14ac:dyDescent="0.25">
      <c r="B194" s="140"/>
    </row>
    <row r="195" spans="2:2" s="1" customFormat="1" x14ac:dyDescent="0.25">
      <c r="B195" s="140"/>
    </row>
    <row r="196" spans="2:2" s="1" customFormat="1" x14ac:dyDescent="0.25">
      <c r="B196" s="140"/>
    </row>
    <row r="197" spans="2:2" s="1" customFormat="1" x14ac:dyDescent="0.25">
      <c r="B197" s="140"/>
    </row>
    <row r="198" spans="2:2" s="1" customFormat="1" x14ac:dyDescent="0.25">
      <c r="B198" s="140"/>
    </row>
    <row r="199" spans="2:2" s="1" customFormat="1" x14ac:dyDescent="0.25">
      <c r="B199" s="140"/>
    </row>
    <row r="200" spans="2:2" s="1" customFormat="1" x14ac:dyDescent="0.25">
      <c r="B200" s="140"/>
    </row>
    <row r="201" spans="2:2" s="1" customFormat="1" x14ac:dyDescent="0.25">
      <c r="B201" s="140"/>
    </row>
    <row r="202" spans="2:2" s="1" customFormat="1" x14ac:dyDescent="0.25">
      <c r="B202" s="140"/>
    </row>
    <row r="203" spans="2:2" s="1" customFormat="1" x14ac:dyDescent="0.25">
      <c r="B203" s="140"/>
    </row>
    <row r="204" spans="2:2" s="1" customFormat="1" x14ac:dyDescent="0.25">
      <c r="B204" s="140"/>
    </row>
    <row r="205" spans="2:2" s="1" customFormat="1" x14ac:dyDescent="0.25">
      <c r="B205" s="140"/>
    </row>
    <row r="206" spans="2:2" s="1" customFormat="1" x14ac:dyDescent="0.25">
      <c r="B206" s="140"/>
    </row>
    <row r="207" spans="2:2" s="1" customFormat="1" x14ac:dyDescent="0.25">
      <c r="B207" s="140"/>
    </row>
    <row r="208" spans="2:2" s="1" customFormat="1" x14ac:dyDescent="0.25">
      <c r="B208" s="140"/>
    </row>
    <row r="209" spans="2:2" s="1" customFormat="1" x14ac:dyDescent="0.25">
      <c r="B209" s="140"/>
    </row>
    <row r="210" spans="2:2" s="1" customFormat="1" x14ac:dyDescent="0.25">
      <c r="B210" s="140"/>
    </row>
    <row r="211" spans="2:2" s="1" customFormat="1" x14ac:dyDescent="0.25">
      <c r="B211" s="140"/>
    </row>
    <row r="212" spans="2:2" s="1" customFormat="1" x14ac:dyDescent="0.25">
      <c r="B212" s="140"/>
    </row>
    <row r="213" spans="2:2" s="1" customFormat="1" x14ac:dyDescent="0.25">
      <c r="B213" s="140"/>
    </row>
    <row r="214" spans="2:2" s="1" customFormat="1" x14ac:dyDescent="0.25">
      <c r="B214" s="140"/>
    </row>
    <row r="215" spans="2:2" s="1" customFormat="1" x14ac:dyDescent="0.25">
      <c r="B215" s="140"/>
    </row>
    <row r="216" spans="2:2" s="1" customFormat="1" x14ac:dyDescent="0.25">
      <c r="B216" s="140"/>
    </row>
    <row r="217" spans="2:2" s="1" customFormat="1" x14ac:dyDescent="0.25">
      <c r="B217" s="140"/>
    </row>
    <row r="218" spans="2:2" s="1" customFormat="1" x14ac:dyDescent="0.25">
      <c r="B218" s="140"/>
    </row>
    <row r="219" spans="2:2" s="1" customFormat="1" x14ac:dyDescent="0.25">
      <c r="B219" s="140"/>
    </row>
    <row r="220" spans="2:2" s="1" customFormat="1" x14ac:dyDescent="0.25">
      <c r="B220" s="140"/>
    </row>
    <row r="221" spans="2:2" s="1" customFormat="1" x14ac:dyDescent="0.25">
      <c r="B221" s="140"/>
    </row>
    <row r="222" spans="2:2" s="1" customFormat="1" x14ac:dyDescent="0.25">
      <c r="B222" s="140"/>
    </row>
    <row r="223" spans="2:2" s="1" customFormat="1" x14ac:dyDescent="0.25">
      <c r="B223" s="140"/>
    </row>
    <row r="224" spans="2:2" s="1" customFormat="1" x14ac:dyDescent="0.25">
      <c r="B224" s="140"/>
    </row>
    <row r="225" spans="2:2" s="1" customFormat="1" x14ac:dyDescent="0.25">
      <c r="B225" s="140"/>
    </row>
    <row r="226" spans="2:2" s="1" customFormat="1" x14ac:dyDescent="0.25">
      <c r="B226" s="140"/>
    </row>
    <row r="227" spans="2:2" s="1" customFormat="1" x14ac:dyDescent="0.25">
      <c r="B227" s="140"/>
    </row>
    <row r="228" spans="2:2" s="1" customFormat="1" x14ac:dyDescent="0.25">
      <c r="B228" s="140"/>
    </row>
    <row r="229" spans="2:2" s="1" customFormat="1" x14ac:dyDescent="0.25">
      <c r="B229" s="140"/>
    </row>
    <row r="230" spans="2:2" s="1" customFormat="1" x14ac:dyDescent="0.25">
      <c r="B230" s="140"/>
    </row>
    <row r="231" spans="2:2" s="1" customFormat="1" x14ac:dyDescent="0.25">
      <c r="B231" s="140"/>
    </row>
    <row r="232" spans="2:2" s="1" customFormat="1" x14ac:dyDescent="0.25">
      <c r="B232" s="140"/>
    </row>
    <row r="233" spans="2:2" s="1" customFormat="1" x14ac:dyDescent="0.25">
      <c r="B233" s="140"/>
    </row>
    <row r="234" spans="2:2" s="1" customFormat="1" x14ac:dyDescent="0.25">
      <c r="B234" s="140"/>
    </row>
    <row r="235" spans="2:2" s="1" customFormat="1" x14ac:dyDescent="0.25">
      <c r="B235" s="140"/>
    </row>
    <row r="236" spans="2:2" s="1" customFormat="1" x14ac:dyDescent="0.25">
      <c r="B236" s="140"/>
    </row>
    <row r="237" spans="2:2" s="1" customFormat="1" x14ac:dyDescent="0.25">
      <c r="B237" s="140"/>
    </row>
    <row r="238" spans="2:2" s="1" customFormat="1" x14ac:dyDescent="0.25">
      <c r="B238" s="140"/>
    </row>
    <row r="239" spans="2:2" s="1" customFormat="1" x14ac:dyDescent="0.25">
      <c r="B239" s="140"/>
    </row>
    <row r="240" spans="2:2" s="1" customFormat="1" x14ac:dyDescent="0.25">
      <c r="B240" s="140"/>
    </row>
    <row r="241" spans="2:2" s="1" customFormat="1" x14ac:dyDescent="0.25">
      <c r="B241" s="140"/>
    </row>
    <row r="242" spans="2:2" s="1" customFormat="1" x14ac:dyDescent="0.25">
      <c r="B242" s="140"/>
    </row>
    <row r="243" spans="2:2" s="1" customFormat="1" x14ac:dyDescent="0.25">
      <c r="B243" s="140"/>
    </row>
    <row r="244" spans="2:2" s="1" customFormat="1" x14ac:dyDescent="0.25">
      <c r="B244" s="140"/>
    </row>
    <row r="245" spans="2:2" s="1" customFormat="1" x14ac:dyDescent="0.25">
      <c r="B245" s="140"/>
    </row>
    <row r="246" spans="2:2" s="1" customFormat="1" x14ac:dyDescent="0.25">
      <c r="B246" s="140"/>
    </row>
    <row r="247" spans="2:2" s="1" customFormat="1" x14ac:dyDescent="0.25">
      <c r="B247" s="140"/>
    </row>
    <row r="248" spans="2:2" s="1" customFormat="1" x14ac:dyDescent="0.25">
      <c r="B248" s="140"/>
    </row>
    <row r="249" spans="2:2" s="1" customFormat="1" x14ac:dyDescent="0.25">
      <c r="B249" s="140"/>
    </row>
    <row r="250" spans="2:2" s="1" customFormat="1" x14ac:dyDescent="0.25">
      <c r="B250" s="140"/>
    </row>
    <row r="251" spans="2:2" s="1" customFormat="1" x14ac:dyDescent="0.25">
      <c r="B251" s="140"/>
    </row>
    <row r="252" spans="2:2" s="1" customFormat="1" x14ac:dyDescent="0.25">
      <c r="B252" s="140"/>
    </row>
    <row r="253" spans="2:2" s="1" customFormat="1" x14ac:dyDescent="0.25">
      <c r="B253" s="140"/>
    </row>
    <row r="254" spans="2:2" s="1" customFormat="1" x14ac:dyDescent="0.25">
      <c r="B254" s="140"/>
    </row>
    <row r="255" spans="2:2" s="1" customFormat="1" x14ac:dyDescent="0.25">
      <c r="B255" s="140"/>
    </row>
    <row r="256" spans="2:2" s="1" customFormat="1" x14ac:dyDescent="0.25">
      <c r="B256" s="140"/>
    </row>
    <row r="257" spans="2:2" s="1" customFormat="1" x14ac:dyDescent="0.25">
      <c r="B257" s="140"/>
    </row>
    <row r="258" spans="2:2" s="1" customFormat="1" x14ac:dyDescent="0.25">
      <c r="B258" s="140"/>
    </row>
    <row r="259" spans="2:2" s="1" customFormat="1" x14ac:dyDescent="0.25">
      <c r="B259" s="140"/>
    </row>
    <row r="260" spans="2:2" s="1" customFormat="1" x14ac:dyDescent="0.25">
      <c r="B260" s="140"/>
    </row>
    <row r="261" spans="2:2" s="1" customFormat="1" x14ac:dyDescent="0.25">
      <c r="B261" s="140"/>
    </row>
    <row r="262" spans="2:2" s="1" customFormat="1" x14ac:dyDescent="0.25">
      <c r="B262" s="140"/>
    </row>
    <row r="263" spans="2:2" s="1" customFormat="1" x14ac:dyDescent="0.25">
      <c r="B263" s="140"/>
    </row>
    <row r="264" spans="2:2" s="1" customFormat="1" x14ac:dyDescent="0.25">
      <c r="B264" s="140"/>
    </row>
    <row r="265" spans="2:2" s="1" customFormat="1" x14ac:dyDescent="0.25">
      <c r="B265" s="140"/>
    </row>
    <row r="266" spans="2:2" s="1" customFormat="1" x14ac:dyDescent="0.25">
      <c r="B266" s="140"/>
    </row>
    <row r="267" spans="2:2" s="1" customFormat="1" x14ac:dyDescent="0.25">
      <c r="B267" s="140"/>
    </row>
    <row r="268" spans="2:2" s="1" customFormat="1" x14ac:dyDescent="0.25">
      <c r="B268" s="140"/>
    </row>
    <row r="269" spans="2:2" s="1" customFormat="1" x14ac:dyDescent="0.25">
      <c r="B269" s="140"/>
    </row>
    <row r="270" spans="2:2" s="1" customFormat="1" x14ac:dyDescent="0.25">
      <c r="B270" s="140"/>
    </row>
    <row r="271" spans="2:2" s="1" customFormat="1" x14ac:dyDescent="0.25">
      <c r="B271" s="140"/>
    </row>
    <row r="272" spans="2:2" s="1" customFormat="1" x14ac:dyDescent="0.25">
      <c r="B272" s="140"/>
    </row>
    <row r="273" spans="2:2" s="1" customFormat="1" x14ac:dyDescent="0.25">
      <c r="B273" s="140"/>
    </row>
    <row r="274" spans="2:2" s="1" customFormat="1" x14ac:dyDescent="0.25">
      <c r="B274" s="140"/>
    </row>
    <row r="275" spans="2:2" s="1" customFormat="1" x14ac:dyDescent="0.25">
      <c r="B275" s="140"/>
    </row>
    <row r="276" spans="2:2" s="1" customFormat="1" x14ac:dyDescent="0.25">
      <c r="B276" s="140"/>
    </row>
    <row r="277" spans="2:2" s="1" customFormat="1" x14ac:dyDescent="0.25">
      <c r="B277" s="140"/>
    </row>
    <row r="278" spans="2:2" s="1" customFormat="1" x14ac:dyDescent="0.25">
      <c r="B278" s="140"/>
    </row>
    <row r="279" spans="2:2" s="1" customFormat="1" x14ac:dyDescent="0.25">
      <c r="B279" s="140"/>
    </row>
    <row r="280" spans="2:2" s="1" customFormat="1" x14ac:dyDescent="0.25">
      <c r="B280" s="140"/>
    </row>
    <row r="281" spans="2:2" s="1" customFormat="1" x14ac:dyDescent="0.25">
      <c r="B281" s="140"/>
    </row>
    <row r="282" spans="2:2" s="1" customFormat="1" x14ac:dyDescent="0.25">
      <c r="B282" s="140"/>
    </row>
    <row r="283" spans="2:2" s="1" customFormat="1" x14ac:dyDescent="0.25">
      <c r="B283" s="140"/>
    </row>
    <row r="284" spans="2:2" s="1" customFormat="1" x14ac:dyDescent="0.25">
      <c r="B284" s="140"/>
    </row>
    <row r="285" spans="2:2" s="1" customFormat="1" x14ac:dyDescent="0.25">
      <c r="B285" s="140"/>
    </row>
    <row r="286" spans="2:2" s="1" customFormat="1" x14ac:dyDescent="0.25">
      <c r="B286" s="140"/>
    </row>
    <row r="287" spans="2:2" s="1" customFormat="1" x14ac:dyDescent="0.25">
      <c r="B287" s="140"/>
    </row>
    <row r="288" spans="2:2" s="1" customFormat="1" x14ac:dyDescent="0.25">
      <c r="B288" s="140"/>
    </row>
    <row r="289" spans="2:2" s="1" customFormat="1" x14ac:dyDescent="0.25">
      <c r="B289" s="140"/>
    </row>
    <row r="290" spans="2:2" s="1" customFormat="1" x14ac:dyDescent="0.25">
      <c r="B290" s="140"/>
    </row>
    <row r="291" spans="2:2" s="1" customFormat="1" x14ac:dyDescent="0.25">
      <c r="B291" s="140"/>
    </row>
    <row r="292" spans="2:2" s="1" customFormat="1" x14ac:dyDescent="0.25">
      <c r="B292" s="140"/>
    </row>
    <row r="293" spans="2:2" s="1" customFormat="1" x14ac:dyDescent="0.25">
      <c r="B293" s="140"/>
    </row>
    <row r="294" spans="2:2" s="1" customFormat="1" x14ac:dyDescent="0.25">
      <c r="B294" s="140"/>
    </row>
    <row r="295" spans="2:2" s="1" customFormat="1" x14ac:dyDescent="0.25">
      <c r="B295" s="140"/>
    </row>
    <row r="296" spans="2:2" s="1" customFormat="1" x14ac:dyDescent="0.25">
      <c r="B296" s="140"/>
    </row>
    <row r="297" spans="2:2" s="1" customFormat="1" x14ac:dyDescent="0.25">
      <c r="B297" s="140"/>
    </row>
    <row r="298" spans="2:2" s="1" customFormat="1" x14ac:dyDescent="0.25">
      <c r="B298" s="140"/>
    </row>
    <row r="299" spans="2:2" s="1" customFormat="1" x14ac:dyDescent="0.25">
      <c r="B299" s="140"/>
    </row>
    <row r="300" spans="2:2" s="1" customFormat="1" x14ac:dyDescent="0.25">
      <c r="B300" s="140"/>
    </row>
    <row r="301" spans="2:2" s="1" customFormat="1" x14ac:dyDescent="0.25">
      <c r="B301" s="140"/>
    </row>
    <row r="302" spans="2:2" s="1" customFormat="1" x14ac:dyDescent="0.25">
      <c r="B302" s="140"/>
    </row>
    <row r="303" spans="2:2" s="1" customFormat="1" x14ac:dyDescent="0.25">
      <c r="B303" s="140"/>
    </row>
    <row r="304" spans="2:2" s="1" customFormat="1" x14ac:dyDescent="0.25">
      <c r="B304" s="140"/>
    </row>
    <row r="305" spans="2:2" s="1" customFormat="1" x14ac:dyDescent="0.25">
      <c r="B305" s="140"/>
    </row>
    <row r="306" spans="2:2" s="1" customFormat="1" x14ac:dyDescent="0.25">
      <c r="B306" s="140"/>
    </row>
  </sheetData>
  <mergeCells count="44">
    <mergeCell ref="A174:I174"/>
    <mergeCell ref="C113:C114"/>
    <mergeCell ref="A145:B145"/>
    <mergeCell ref="A146:B146"/>
    <mergeCell ref="A147:B147"/>
    <mergeCell ref="A134:B134"/>
    <mergeCell ref="A135:B135"/>
    <mergeCell ref="A136:B136"/>
    <mergeCell ref="A139:B139"/>
    <mergeCell ref="A140:B140"/>
    <mergeCell ref="A141:B141"/>
    <mergeCell ref="A142:B142"/>
    <mergeCell ref="A143:B143"/>
    <mergeCell ref="A144:B144"/>
    <mergeCell ref="A137:B137"/>
    <mergeCell ref="A138:B138"/>
    <mergeCell ref="A131:B131"/>
    <mergeCell ref="A132:B132"/>
    <mergeCell ref="A133:B133"/>
    <mergeCell ref="A124:B124"/>
    <mergeCell ref="A125:B125"/>
    <mergeCell ref="A126:B126"/>
    <mergeCell ref="A127:B127"/>
    <mergeCell ref="A128:B128"/>
    <mergeCell ref="A130:B130"/>
    <mergeCell ref="A129:B129"/>
    <mergeCell ref="A121:B121"/>
    <mergeCell ref="A122:B122"/>
    <mergeCell ref="A123:B123"/>
    <mergeCell ref="A115:B115"/>
    <mergeCell ref="B6:B7"/>
    <mergeCell ref="A113:B114"/>
    <mergeCell ref="A119:B119"/>
    <mergeCell ref="A120:B120"/>
    <mergeCell ref="A116:B116"/>
    <mergeCell ref="A117:B117"/>
    <mergeCell ref="A118:B118"/>
    <mergeCell ref="A1:J1"/>
    <mergeCell ref="A2:J2"/>
    <mergeCell ref="A3:J3"/>
    <mergeCell ref="A111:J111"/>
    <mergeCell ref="A110:J110"/>
    <mergeCell ref="A109:J109"/>
    <mergeCell ref="A6:A7"/>
  </mergeCells>
  <phoneticPr fontId="21" type="noConversion"/>
  <pageMargins left="0.78740157499999996" right="0.78740157499999996" top="0.984251969" bottom="0.984251969" header="0.49212598499999999" footer="0.49212598499999999"/>
  <pageSetup scale="34" orientation="portrait" horizontalDpi="300" verticalDpi="300" r:id="rId1"/>
  <headerFooter alignWithMargins="0"/>
  <rowBreaks count="2" manualBreakCount="2">
    <brk id="107" max="38" man="1"/>
    <brk id="111" max="16383" man="1"/>
  </rowBreaks>
  <colBreaks count="1" manualBreakCount="1">
    <brk id="4" max="153"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F3AC5-A4D2-4B25-9CBC-3ED8EBF3F730}">
  <dimension ref="A1:IV227"/>
  <sheetViews>
    <sheetView topLeftCell="A41" zoomScale="77" zoomScaleNormal="77" workbookViewId="0">
      <selection activeCell="H10" sqref="H10"/>
    </sheetView>
  </sheetViews>
  <sheetFormatPr defaultColWidth="19.140625" defaultRowHeight="15.75" x14ac:dyDescent="0.25"/>
  <cols>
    <col min="1" max="1" width="27.7109375" style="3" customWidth="1"/>
    <col min="2" max="2" width="17.42578125" style="141" customWidth="1"/>
    <col min="3" max="3" width="74.7109375" style="3" customWidth="1"/>
    <col min="4" max="7" width="20.7109375" style="3" customWidth="1"/>
    <col min="8" max="8" width="22.42578125" style="3" customWidth="1"/>
    <col min="9" max="9" width="22.85546875" style="3" customWidth="1"/>
    <col min="10" max="10" width="23" style="3" customWidth="1"/>
    <col min="11" max="16384" width="19.140625" style="3"/>
  </cols>
  <sheetData>
    <row r="1" spans="1:11" s="1" customFormat="1" ht="17.649999999999999" customHeight="1" x14ac:dyDescent="0.25">
      <c r="A1" s="463" t="str">
        <f>Parâmetros!A7</f>
        <v>Município de :   NOVA PÁDUA</v>
      </c>
      <c r="B1" s="463"/>
      <c r="C1" s="464"/>
      <c r="D1" s="464"/>
      <c r="E1" s="464"/>
      <c r="F1" s="464"/>
      <c r="G1" s="464"/>
      <c r="H1" s="464"/>
      <c r="I1" s="464"/>
      <c r="J1" s="464"/>
    </row>
    <row r="2" spans="1:11" s="1" customFormat="1" ht="30" customHeight="1" x14ac:dyDescent="0.25">
      <c r="A2" s="465" t="str">
        <f>Parâmetros!A8</f>
        <v>LEI DE DIRETRIZES ORÇAMENTÁRIAS  PARA 2025</v>
      </c>
      <c r="B2" s="465"/>
      <c r="C2" s="464"/>
      <c r="D2" s="464"/>
      <c r="E2" s="464"/>
      <c r="F2" s="464"/>
      <c r="G2" s="464"/>
      <c r="H2" s="464"/>
      <c r="I2" s="464"/>
      <c r="J2" s="464"/>
    </row>
    <row r="3" spans="1:11" s="1" customFormat="1" ht="19.5" customHeight="1" x14ac:dyDescent="0.25">
      <c r="A3" s="466" t="s">
        <v>296</v>
      </c>
      <c r="B3" s="466"/>
      <c r="C3" s="464"/>
      <c r="D3" s="464"/>
      <c r="E3" s="464"/>
      <c r="F3" s="464"/>
      <c r="G3" s="464"/>
      <c r="H3" s="464"/>
      <c r="I3" s="464"/>
      <c r="J3" s="464"/>
    </row>
    <row r="4" spans="1:11" s="1" customFormat="1" hidden="1" x14ac:dyDescent="0.25">
      <c r="A4" s="12"/>
      <c r="B4" s="142"/>
      <c r="C4" s="13"/>
      <c r="D4" s="13"/>
      <c r="E4" s="13"/>
      <c r="F4" s="13"/>
      <c r="G4" s="13"/>
      <c r="H4" s="13"/>
      <c r="I4" s="13"/>
      <c r="J4" s="13"/>
    </row>
    <row r="5" spans="1:11" s="1" customFormat="1" x14ac:dyDescent="0.25">
      <c r="A5" s="14"/>
      <c r="B5" s="143"/>
      <c r="C5" s="403"/>
      <c r="D5" s="403"/>
      <c r="E5" s="403"/>
      <c r="F5" s="403"/>
      <c r="G5" s="403"/>
      <c r="H5" s="403"/>
      <c r="I5" s="403"/>
      <c r="J5" s="15" t="s">
        <v>16</v>
      </c>
    </row>
    <row r="6" spans="1:11" s="1" customFormat="1" x14ac:dyDescent="0.25">
      <c r="A6" s="469" t="s">
        <v>17</v>
      </c>
      <c r="B6" s="474" t="s">
        <v>18</v>
      </c>
      <c r="C6" s="148" t="s">
        <v>19</v>
      </c>
      <c r="D6" s="44" t="s">
        <v>20</v>
      </c>
      <c r="E6" s="44" t="s">
        <v>20</v>
      </c>
      <c r="F6" s="44" t="s">
        <v>20</v>
      </c>
      <c r="G6" s="45" t="s">
        <v>21</v>
      </c>
      <c r="H6" s="45" t="s">
        <v>22</v>
      </c>
      <c r="I6" s="46" t="s">
        <v>22</v>
      </c>
      <c r="J6" s="47" t="s">
        <v>22</v>
      </c>
    </row>
    <row r="7" spans="1:11" s="1" customFormat="1" ht="27.75" customHeight="1" x14ac:dyDescent="0.25">
      <c r="A7" s="470"/>
      <c r="B7" s="475"/>
      <c r="C7" s="147" t="s">
        <v>23</v>
      </c>
      <c r="D7" s="48">
        <f>Parâmetros!B10-1</f>
        <v>2021</v>
      </c>
      <c r="E7" s="49">
        <f t="shared" ref="E7:J7" si="0">D7+1</f>
        <v>2022</v>
      </c>
      <c r="F7" s="49">
        <f t="shared" si="0"/>
        <v>2023</v>
      </c>
      <c r="G7" s="49">
        <f t="shared" si="0"/>
        <v>2024</v>
      </c>
      <c r="H7" s="49">
        <f t="shared" si="0"/>
        <v>2025</v>
      </c>
      <c r="I7" s="49">
        <f t="shared" si="0"/>
        <v>2026</v>
      </c>
      <c r="J7" s="49">
        <f t="shared" si="0"/>
        <v>2027</v>
      </c>
      <c r="K7" s="1" t="s">
        <v>616</v>
      </c>
    </row>
    <row r="8" spans="1:11" s="31" customFormat="1" ht="17.45" customHeight="1" x14ac:dyDescent="0.35">
      <c r="A8" s="50" t="s">
        <v>24</v>
      </c>
      <c r="B8" s="157">
        <v>10000000</v>
      </c>
      <c r="C8" s="51" t="s">
        <v>25</v>
      </c>
      <c r="D8" s="52">
        <f t="shared" ref="D8:J8" si="1">SUM(D9:D17)</f>
        <v>1458107.83</v>
      </c>
      <c r="E8" s="52">
        <f t="shared" si="1"/>
        <v>844072.69</v>
      </c>
      <c r="F8" s="52">
        <f t="shared" si="1"/>
        <v>3549140.2700000005</v>
      </c>
      <c r="G8" s="52">
        <f t="shared" si="1"/>
        <v>2292262.3850000002</v>
      </c>
      <c r="H8" s="52">
        <f t="shared" si="1"/>
        <v>2770415.2805968849</v>
      </c>
      <c r="I8" s="52">
        <f t="shared" si="1"/>
        <v>3054933.5125768678</v>
      </c>
      <c r="J8" s="52">
        <f t="shared" si="1"/>
        <v>3327664.162428028</v>
      </c>
    </row>
    <row r="9" spans="1:11" customFormat="1" ht="12.75" x14ac:dyDescent="0.2">
      <c r="A9" s="56" t="s">
        <v>297</v>
      </c>
      <c r="B9" s="158">
        <v>12150000</v>
      </c>
      <c r="C9" s="57" t="s">
        <v>298</v>
      </c>
      <c r="D9" s="436">
        <v>498485.7</v>
      </c>
      <c r="E9" s="436">
        <v>527514.09</v>
      </c>
      <c r="F9" s="436">
        <v>627928.37</v>
      </c>
      <c r="G9" s="29">
        <f>(312291.4/6)*13</f>
        <v>676631.3666666667</v>
      </c>
      <c r="H9" s="58">
        <f>(G9*1.1)+4627000-4603950.35</f>
        <v>767344.15333333425</v>
      </c>
      <c r="I9" s="58">
        <f>H9*(1+Parâmetros!F11)*(1+Parâmetros!F13)*(1+Parâmetros!F18)</f>
        <v>930139.54022277507</v>
      </c>
      <c r="J9" s="58">
        <f>I9*(1+Parâmetros!G11)*(1+Parâmetros!G13)*(1+Parâmetros!G18)</f>
        <v>1073749.1511797714</v>
      </c>
    </row>
    <row r="10" spans="1:11" customFormat="1" ht="12.75" x14ac:dyDescent="0.2">
      <c r="A10" s="56" t="s">
        <v>299</v>
      </c>
      <c r="B10" s="158">
        <v>13210400</v>
      </c>
      <c r="C10" s="57" t="s">
        <v>300</v>
      </c>
      <c r="D10" s="436">
        <v>959622.13</v>
      </c>
      <c r="E10" s="436">
        <v>316558.59999999998</v>
      </c>
      <c r="F10" s="436">
        <f>2915677.68</f>
        <v>2915677.68</v>
      </c>
      <c r="G10" s="29">
        <f>((958275.18-151355.49)/6)*12</f>
        <v>1613839.3800000004</v>
      </c>
      <c r="H10" s="58">
        <v>2000000</v>
      </c>
      <c r="I10" s="58">
        <f>H10*(1+Parâmetros!F11)*(1+Parâmetros!F12)</f>
        <v>2121600</v>
      </c>
      <c r="J10" s="58">
        <f>I10*(1+Parâmetros!G11)*(1+Parâmetros!G12)</f>
        <v>2250593.2800000003</v>
      </c>
    </row>
    <row r="11" spans="1:11" customFormat="1" ht="12.75" x14ac:dyDescent="0.2">
      <c r="A11" s="56" t="s">
        <v>68</v>
      </c>
      <c r="B11" s="158">
        <v>13610000</v>
      </c>
      <c r="C11" s="57" t="s">
        <v>301</v>
      </c>
      <c r="D11" s="29"/>
      <c r="E11" s="29"/>
      <c r="F11" s="29"/>
      <c r="G11" s="29"/>
      <c r="H11" s="58">
        <f>(((E11*(1+Parâmetros!B11)*(1+Parâmetros!C11)*(1+Parâmetros!D11))+(F11*(1+Parâmetros!C11)*(1+Parâmetros!D11)+(G11*(1+Parâmetros!D11))))/3)*(1+Parâmetros!E11)</f>
        <v>0</v>
      </c>
      <c r="I11" s="58">
        <f>H11*(1+Parâmetros!F11)</f>
        <v>0</v>
      </c>
      <c r="J11" s="58">
        <f>I11*(1+Parâmetros!G11)</f>
        <v>0</v>
      </c>
    </row>
    <row r="12" spans="1:11" customFormat="1" ht="12.75" x14ac:dyDescent="0.2">
      <c r="A12" s="56" t="s">
        <v>70</v>
      </c>
      <c r="B12" s="158">
        <v>13900000</v>
      </c>
      <c r="C12" s="57" t="s">
        <v>302</v>
      </c>
      <c r="D12" s="29"/>
      <c r="E12" s="29"/>
      <c r="F12" s="29"/>
      <c r="G12" s="29"/>
      <c r="H12" s="58">
        <f>(((E12*(1+Parâmetros!B11)*(1+Parâmetros!C11)*(1+Parâmetros!D11))+(F12*(1+Parâmetros!C11)*(1+Parâmetros!D11)+(G12*(1+Parâmetros!D11))))/3)*(1+Parâmetros!E11)*(1+Parâmetros!E12)</f>
        <v>0</v>
      </c>
      <c r="I12" s="58">
        <f>H12*(1+Parâmetros!F11)*(1+Parâmetros!F12)</f>
        <v>0</v>
      </c>
      <c r="J12" s="58">
        <f>I12*(1+Parâmetros!G11)*(1+Parâmetros!G12)</f>
        <v>0</v>
      </c>
    </row>
    <row r="13" spans="1:11" customFormat="1" ht="12.75" x14ac:dyDescent="0.2">
      <c r="A13" s="56" t="s">
        <v>76</v>
      </c>
      <c r="B13" s="158">
        <v>16999900</v>
      </c>
      <c r="C13" s="57" t="s">
        <v>81</v>
      </c>
      <c r="D13" s="29"/>
      <c r="E13" s="29"/>
      <c r="F13" s="29"/>
      <c r="G13" s="29"/>
      <c r="H13" s="58">
        <f>(((E13*(1+Parâmetros!B11)*(1+Parâmetros!C11)*(1+Parâmetros!D11))+(F13*(1+Parâmetros!C11)*(1+Parâmetros!D11)+(G13*(1+Parâmetros!D11))))/3)*(1+Parâmetros!E11)*(1+Parâmetros!E11)</f>
        <v>0</v>
      </c>
      <c r="I13" s="58">
        <f>H13*(1+Parâmetros!F1)</f>
        <v>0</v>
      </c>
      <c r="J13" s="58">
        <f>I13*(1+Parâmetros!G11)</f>
        <v>0</v>
      </c>
    </row>
    <row r="14" spans="1:11" customFormat="1" ht="12.75" x14ac:dyDescent="0.2">
      <c r="A14" s="56" t="s">
        <v>139</v>
      </c>
      <c r="B14" s="158">
        <v>19110000</v>
      </c>
      <c r="C14" s="57" t="s">
        <v>303</v>
      </c>
      <c r="D14" s="29"/>
      <c r="E14" s="29"/>
      <c r="F14" s="29"/>
      <c r="G14" s="29"/>
      <c r="H14" s="58">
        <f>(((E14*(1+Parâmetros!B11)*(1+Parâmetros!C11)*(1+Parâmetros!D11))+(F14*(1+Parâmetros!C11)*(1+Parâmetros!D11)+(G14*(1+Parâmetros!D11))))/3)*(1+Parâmetros!E11)</f>
        <v>0</v>
      </c>
      <c r="I14" s="58">
        <f>H14*(1+Parâmetros!F11)</f>
        <v>0</v>
      </c>
      <c r="J14" s="58">
        <f>I14*(1+Parâmetros!G11)</f>
        <v>0</v>
      </c>
    </row>
    <row r="15" spans="1:11" customFormat="1" ht="12.75" x14ac:dyDescent="0.2">
      <c r="A15" s="56" t="s">
        <v>145</v>
      </c>
      <c r="B15" s="158">
        <v>19220000</v>
      </c>
      <c r="C15" s="57" t="s">
        <v>142</v>
      </c>
      <c r="D15" s="29"/>
      <c r="E15" s="29"/>
      <c r="F15" s="29"/>
      <c r="G15" s="29"/>
      <c r="H15" s="58">
        <f>(((E15*(1+Parâmetros!B11)*(1+Parâmetros!C11)*(1+Parâmetros!D11))+(F15*(1+Parâmetros!C11)*(1+Parâmetros!D11)+(G15*(1+Parâmetros!D11))))/3)*(1+Parâmetros!E11)</f>
        <v>0</v>
      </c>
      <c r="I15" s="58">
        <f>H15*(1+Parâmetros!F11)</f>
        <v>0</v>
      </c>
      <c r="J15" s="58">
        <f>I15*(1+Parâmetros!G11)</f>
        <v>0</v>
      </c>
    </row>
    <row r="16" spans="1:11" customFormat="1" ht="25.5" x14ac:dyDescent="0.2">
      <c r="A16" s="56" t="s">
        <v>304</v>
      </c>
      <c r="B16" s="158">
        <v>19990300</v>
      </c>
      <c r="C16" s="57" t="s">
        <v>305</v>
      </c>
      <c r="D16" s="29"/>
      <c r="E16" s="29"/>
      <c r="F16" s="29"/>
      <c r="G16" s="29"/>
      <c r="H16" s="58">
        <f>(((E16*(1+Parâmetros!B11)*(1+Parâmetros!C11)*(1+Parâmetros!D11))+(F16*(1+Parâmetros!C11)*(1+Parâmetros!D11)+(G16*(1+Parâmetros!D11))))/3)*(1+Parâmetros!E11)</f>
        <v>0</v>
      </c>
      <c r="I16" s="58">
        <f>H16*(1+Parâmetros!F11)</f>
        <v>0</v>
      </c>
      <c r="J16" s="58">
        <f>I16*(1+Parâmetros!G11)</f>
        <v>0</v>
      </c>
    </row>
    <row r="17" spans="1:256" customFormat="1" ht="12.75" x14ac:dyDescent="0.2">
      <c r="A17" s="56" t="s">
        <v>157</v>
      </c>
      <c r="B17" s="158">
        <v>19999900</v>
      </c>
      <c r="C17" s="57" t="s">
        <v>306</v>
      </c>
      <c r="D17" s="29"/>
      <c r="E17" s="29"/>
      <c r="F17" s="29">
        <v>5534.22</v>
      </c>
      <c r="G17" s="29">
        <f>(826.91/6)*13</f>
        <v>1791.6383333333333</v>
      </c>
      <c r="H17" s="58">
        <f>(((E17*(1+Parâmetros!B11)*(1+Parâmetros!C11)*(1+Parâmetros!D11))+(F17*(1+Parâmetros!C11)*(1+Parâmetros!D11)+(G17*(1+Parâmetros!D11))))/3)*(1+Parâmetros!E11)+298.28</f>
        <v>3071.1272635505784</v>
      </c>
      <c r="I17" s="58">
        <f>H17*(1+Parâmetros!F11)</f>
        <v>3193.9723540926016</v>
      </c>
      <c r="J17" s="58">
        <f>I17*(1+Parâmetros!G11)</f>
        <v>3321.7312482563057</v>
      </c>
    </row>
    <row r="18" spans="1:256" s="8" customFormat="1" ht="18" x14ac:dyDescent="0.25">
      <c r="A18" s="53" t="s">
        <v>159</v>
      </c>
      <c r="B18" s="158">
        <v>20000000</v>
      </c>
      <c r="C18" s="54" t="s">
        <v>160</v>
      </c>
      <c r="D18" s="55">
        <f t="shared" ref="D18:J18" si="2">SUM(D19:D24)</f>
        <v>0</v>
      </c>
      <c r="E18" s="55">
        <f t="shared" si="2"/>
        <v>0</v>
      </c>
      <c r="F18" s="55">
        <f t="shared" si="2"/>
        <v>0</v>
      </c>
      <c r="G18" s="55">
        <f t="shared" si="2"/>
        <v>0</v>
      </c>
      <c r="H18" s="55">
        <f t="shared" si="2"/>
        <v>0</v>
      </c>
      <c r="I18" s="55">
        <f t="shared" si="2"/>
        <v>0</v>
      </c>
      <c r="J18" s="55">
        <f t="shared" si="2"/>
        <v>0</v>
      </c>
    </row>
    <row r="19" spans="1:256" s="5" customFormat="1" ht="12.75" x14ac:dyDescent="0.2">
      <c r="A19" s="56" t="s">
        <v>165</v>
      </c>
      <c r="B19" s="158">
        <v>22110100</v>
      </c>
      <c r="C19" s="57" t="s">
        <v>166</v>
      </c>
      <c r="D19" s="29"/>
      <c r="E19" s="29"/>
      <c r="F19" s="29"/>
      <c r="G19" s="29"/>
      <c r="H19" s="58">
        <f>((D19+E19+F19+G19)/4)*(1+Parâmetros!E11)</f>
        <v>0</v>
      </c>
      <c r="I19" s="58">
        <f>((E19+F19+G19+H19)/4)*(1+Parâmetros!F11)</f>
        <v>0</v>
      </c>
      <c r="J19" s="58">
        <f>((F19+G19+H19+I19)/4)*(1+Parâmetros!G11)</f>
        <v>0</v>
      </c>
    </row>
    <row r="20" spans="1:256" s="5" customFormat="1" ht="12.75" x14ac:dyDescent="0.2">
      <c r="A20" s="56" t="s">
        <v>167</v>
      </c>
      <c r="B20" s="158">
        <v>22110200</v>
      </c>
      <c r="C20" s="57" t="s">
        <v>168</v>
      </c>
      <c r="D20" s="29"/>
      <c r="E20" s="29"/>
      <c r="F20" s="29"/>
      <c r="G20" s="29"/>
      <c r="H20" s="58">
        <f>((D20+E20+F20+G20)/4)*(1+Parâmetros!E11)</f>
        <v>0</v>
      </c>
      <c r="I20" s="58">
        <f>((E20+F20+G20+H20)/4)*(1+Parâmetros!F11)</f>
        <v>0</v>
      </c>
      <c r="J20" s="58">
        <f>((F20+G20+H20+I20)/4)*(1+Parâmetros!G11)</f>
        <v>0</v>
      </c>
    </row>
    <row r="21" spans="1:256" customFormat="1" ht="12.75" x14ac:dyDescent="0.2">
      <c r="A21" s="56" t="s">
        <v>169</v>
      </c>
      <c r="B21" s="158">
        <v>22100000</v>
      </c>
      <c r="C21" s="57" t="s">
        <v>170</v>
      </c>
      <c r="D21" s="29"/>
      <c r="E21" s="29"/>
      <c r="F21" s="29"/>
      <c r="G21" s="29"/>
      <c r="H21" s="58">
        <f>(((E21*(1+Parâmetros!B11)*(1+Parâmetros!C11)*(1+Parâmetros!D11))+(F21*(1+Parâmetros!C11)*(1+Parâmetros!D11)+(G21*(1+Parâmetros!D11))))/3)*(1+Parâmetros!E11)</f>
        <v>0</v>
      </c>
      <c r="I21" s="58">
        <f>H21*(1+Parâmetros!F11)</f>
        <v>0</v>
      </c>
      <c r="J21" s="58">
        <f>I21*(1+Parâmetros!G11)</f>
        <v>0</v>
      </c>
    </row>
    <row r="22" spans="1:256" customFormat="1" ht="12.75" x14ac:dyDescent="0.2">
      <c r="A22" s="56" t="s">
        <v>171</v>
      </c>
      <c r="B22" s="158">
        <v>22210100</v>
      </c>
      <c r="C22" s="57" t="s">
        <v>172</v>
      </c>
      <c r="D22" s="29"/>
      <c r="E22" s="29"/>
      <c r="F22" s="29"/>
      <c r="G22" s="29"/>
      <c r="H22" s="58">
        <f>(((E22*(1+Parâmetros!B11)*(1+Parâmetros!C11)*(1+Parâmetros!D11))+(F22*(1+Parâmetros!C11)*(1+Parâmetros!D11)+(G22*(1+Parâmetros!D11))))/3)*(1+Parâmetros!E11)</f>
        <v>0</v>
      </c>
      <c r="I22" s="58">
        <f>H22*(1+Parâmetros!F11)</f>
        <v>0</v>
      </c>
      <c r="J22" s="58">
        <f>I22*(1+Parâmetros!G11)</f>
        <v>0</v>
      </c>
    </row>
    <row r="23" spans="1:256" customFormat="1" ht="12.75" x14ac:dyDescent="0.2">
      <c r="A23" s="56" t="s">
        <v>173</v>
      </c>
      <c r="B23" s="158">
        <v>23110000</v>
      </c>
      <c r="C23" s="57" t="s">
        <v>174</v>
      </c>
      <c r="D23" s="29"/>
      <c r="E23" s="29"/>
      <c r="F23" s="29"/>
      <c r="G23" s="29"/>
      <c r="H23" s="58">
        <f>(((E23*(1+Parâmetros!B11)*(1+Parâmetros!C11)*(1+Parâmetros!D11))+(F23*(1+Parâmetros!C11)*(1+Parâmetros!D11)+(G23*(1+Parâmetros!D11))))/3)*(1+Parâmetros!E11)</f>
        <v>0</v>
      </c>
      <c r="I23" s="58">
        <f>H23*(1+Parâmetros!F11)</f>
        <v>0</v>
      </c>
      <c r="J23" s="58">
        <f>I23*(1+Parâmetros!G11)</f>
        <v>0</v>
      </c>
    </row>
    <row r="24" spans="1:256" customFormat="1" ht="12.75" x14ac:dyDescent="0.2">
      <c r="A24" s="56" t="s">
        <v>187</v>
      </c>
      <c r="B24" s="158">
        <v>29999900</v>
      </c>
      <c r="C24" s="59" t="s">
        <v>307</v>
      </c>
      <c r="D24" s="29"/>
      <c r="E24" s="29"/>
      <c r="F24" s="29"/>
      <c r="G24" s="29"/>
      <c r="H24" s="58">
        <f>(((E24*(1+Parâmetros!B11)*(1+Parâmetros!C11)*(1+Parâmetros!D11))+(F24*(1+Parâmetros!C11)*(1+Parâmetros!D11)+(G24*(1+Parâmetros!D11))))/3)*(1+Parâmetros!E11)</f>
        <v>0</v>
      </c>
      <c r="I24" s="58">
        <f>H24*(1+Parâmetros!F11)</f>
        <v>0</v>
      </c>
      <c r="J24" s="58">
        <f>I24*(1+Parâmetros!G11)</f>
        <v>0</v>
      </c>
    </row>
    <row r="25" spans="1:256" s="32" customFormat="1" ht="18" x14ac:dyDescent="0.25">
      <c r="A25" s="84" t="s">
        <v>190</v>
      </c>
      <c r="B25" s="157">
        <v>70000000</v>
      </c>
      <c r="C25" s="54" t="s">
        <v>308</v>
      </c>
      <c r="D25" s="55">
        <f>SUM(D26:D27)</f>
        <v>1077061.1499999999</v>
      </c>
      <c r="E25" s="55">
        <f t="shared" ref="E25:J25" si="3">E26+E27</f>
        <v>1080720.92</v>
      </c>
      <c r="F25" s="55">
        <f t="shared" si="3"/>
        <v>1246404.67</v>
      </c>
      <c r="G25" s="55">
        <f t="shared" si="3"/>
        <v>1557973.1916666669</v>
      </c>
      <c r="H25" s="55">
        <f t="shared" si="3"/>
        <v>1856584.7200694445</v>
      </c>
      <c r="I25" s="55">
        <f t="shared" si="3"/>
        <v>1930848.1088722222</v>
      </c>
      <c r="J25" s="55">
        <f t="shared" si="3"/>
        <v>2008082.0332271112</v>
      </c>
    </row>
    <row r="26" spans="1:256" s="32" customFormat="1" ht="18" x14ac:dyDescent="0.25">
      <c r="A26" s="60"/>
      <c r="B26" s="157">
        <v>70000000</v>
      </c>
      <c r="C26" s="57" t="s">
        <v>192</v>
      </c>
      <c r="D26" s="436">
        <v>1077061.1499999999</v>
      </c>
      <c r="E26" s="436">
        <v>1080720.92</v>
      </c>
      <c r="F26" s="436">
        <v>1246404.67</v>
      </c>
      <c r="G26" s="29">
        <f>(719064.55/6)*13</f>
        <v>1557973.1916666669</v>
      </c>
      <c r="H26" s="55">
        <f>((((G26*100)/18)*0.2145))</f>
        <v>1856584.7200694445</v>
      </c>
      <c r="I26" s="55">
        <f>H26*(1+Parâmetros!F11)</f>
        <v>1930848.1088722222</v>
      </c>
      <c r="J26" s="55">
        <f>I26*(1+Parâmetros!G11)</f>
        <v>2008082.0332271112</v>
      </c>
      <c r="IV26" s="29">
        <v>100</v>
      </c>
    </row>
    <row r="27" spans="1:256" s="32" customFormat="1" ht="18" x14ac:dyDescent="0.25">
      <c r="A27" s="60"/>
      <c r="B27" s="157">
        <v>70000000</v>
      </c>
      <c r="C27" s="57" t="s">
        <v>309</v>
      </c>
      <c r="D27" s="29"/>
      <c r="E27" s="29"/>
      <c r="F27" s="29"/>
      <c r="G27" s="29"/>
      <c r="H27" s="55">
        <f>(((E27*(1+Parâmetros!B11)*(1+Parâmetros!C11)*(1+Parâmetros!D11))+(F27*(1+Parâmetros!C11)*(1+Parâmetros!D11)+(G27*(1+Parâmetros!D11))))/3)*(1+Parâmetros!E11)</f>
        <v>0</v>
      </c>
      <c r="I27" s="55">
        <f>H27*(1+Parâmetros!F11)</f>
        <v>0</v>
      </c>
      <c r="J27" s="55">
        <f>I27*(1+Parâmetros!G11)</f>
        <v>0</v>
      </c>
    </row>
    <row r="28" spans="1:256" s="32" customFormat="1" ht="18" x14ac:dyDescent="0.25">
      <c r="A28" s="53" t="s">
        <v>194</v>
      </c>
      <c r="B28" s="158">
        <v>80000000</v>
      </c>
      <c r="C28" s="54" t="s">
        <v>195</v>
      </c>
      <c r="D28" s="55">
        <f t="shared" ref="D28:J28" si="4">SUM(D29:D30)</f>
        <v>0</v>
      </c>
      <c r="E28" s="55">
        <f t="shared" si="4"/>
        <v>0</v>
      </c>
      <c r="F28" s="55">
        <f t="shared" si="4"/>
        <v>0</v>
      </c>
      <c r="G28" s="55">
        <f t="shared" si="4"/>
        <v>0</v>
      </c>
      <c r="H28" s="55">
        <f t="shared" si="4"/>
        <v>0</v>
      </c>
      <c r="I28" s="55">
        <f t="shared" si="4"/>
        <v>0</v>
      </c>
      <c r="J28" s="55">
        <f t="shared" si="4"/>
        <v>0</v>
      </c>
      <c r="K28" s="300" t="s">
        <v>242</v>
      </c>
    </row>
    <row r="29" spans="1:256" s="32" customFormat="1" ht="18" x14ac:dyDescent="0.25">
      <c r="A29" s="56"/>
      <c r="B29" s="158">
        <v>80000000</v>
      </c>
      <c r="C29" s="57" t="s">
        <v>196</v>
      </c>
      <c r="D29" s="29"/>
      <c r="E29" s="29"/>
      <c r="F29" s="29"/>
      <c r="G29" s="29"/>
      <c r="H29" s="58">
        <f>(((E29*(1+Parâmetros!B11)*(1+Parâmetros!C11)*(1+Parâmetros!D11))+(F29*(1+Parâmetros!C11)*(1+Parâmetros!D11)+(G29*(1+Parâmetros!D11))))/3)*(1+Parâmetros!E11)</f>
        <v>0</v>
      </c>
      <c r="I29" s="58">
        <f>H29*(1+Parâmetros!F11)</f>
        <v>0</v>
      </c>
      <c r="J29" s="58">
        <f>I29*(1+Parâmetros!G11)</f>
        <v>0</v>
      </c>
    </row>
    <row r="30" spans="1:256" s="32" customFormat="1" ht="18" x14ac:dyDescent="0.25">
      <c r="A30" s="56"/>
      <c r="B30" s="158">
        <v>80000000</v>
      </c>
      <c r="C30" s="57" t="s">
        <v>197</v>
      </c>
      <c r="D30" s="29"/>
      <c r="E30" s="29"/>
      <c r="F30" s="29"/>
      <c r="G30" s="29"/>
      <c r="H30" s="58">
        <f>(((E30*(1+Parâmetros!B11)*(1+Parâmetros!C11)*(1+Parâmetros!D11))+(F30*(1+Parâmetros!C11)*(1+Parâmetros!D11)+(G30*(1+Parâmetros!D11))))/3)*(1+Parâmetros!E11)</f>
        <v>0</v>
      </c>
      <c r="I30" s="58">
        <f>H30*(1+Parâmetros!F11)</f>
        <v>0</v>
      </c>
      <c r="J30" s="58">
        <f>I30*(1+Parâmetros!G11)</f>
        <v>0</v>
      </c>
    </row>
    <row r="31" spans="1:256" s="8" customFormat="1" ht="30.75" customHeight="1" x14ac:dyDescent="0.25">
      <c r="A31" s="53" t="s">
        <v>198</v>
      </c>
      <c r="B31" s="158" t="s">
        <v>199</v>
      </c>
      <c r="C31" s="54" t="s">
        <v>310</v>
      </c>
      <c r="D31" s="55">
        <f t="shared" ref="D31:J31" si="5">SUM(D32:D34)</f>
        <v>0</v>
      </c>
      <c r="E31" s="55">
        <f t="shared" si="5"/>
        <v>0</v>
      </c>
      <c r="F31" s="55">
        <f t="shared" si="5"/>
        <v>0</v>
      </c>
      <c r="G31" s="55">
        <f t="shared" si="5"/>
        <v>0</v>
      </c>
      <c r="H31" s="55">
        <f t="shared" si="5"/>
        <v>0</v>
      </c>
      <c r="I31" s="55">
        <f t="shared" si="5"/>
        <v>0</v>
      </c>
      <c r="J31" s="55">
        <f t="shared" si="5"/>
        <v>0</v>
      </c>
    </row>
    <row r="32" spans="1:256" customFormat="1" ht="12.75" x14ac:dyDescent="0.2">
      <c r="A32" s="56" t="s">
        <v>311</v>
      </c>
      <c r="B32" s="158" t="s">
        <v>312</v>
      </c>
      <c r="C32" s="57" t="s">
        <v>313</v>
      </c>
      <c r="D32" s="166"/>
      <c r="E32" s="166"/>
      <c r="F32" s="166"/>
      <c r="G32" s="166"/>
      <c r="H32" s="167">
        <f>(((E32*(1+Parâmetros!B11)*(1+Parâmetros!C11)*(1+Parâmetros!D11))+(F32*(1+Parâmetros!C11)*(1+Parâmetros!D11)+(G32*(1+Parâmetros!D11))))/3)*(1+Parâmetros!E11)</f>
        <v>0</v>
      </c>
      <c r="I32" s="167">
        <f>H32*(1+Parâmetros!F11)</f>
        <v>0</v>
      </c>
      <c r="J32" s="167">
        <f>I32*(1+Parâmetros!G11)</f>
        <v>0</v>
      </c>
    </row>
    <row r="33" spans="1:178" customFormat="1" ht="12.75" x14ac:dyDescent="0.2">
      <c r="A33" s="56" t="s">
        <v>207</v>
      </c>
      <c r="B33" s="158" t="s">
        <v>208</v>
      </c>
      <c r="C33" s="57" t="s">
        <v>314</v>
      </c>
      <c r="D33" s="166"/>
      <c r="E33" s="166"/>
      <c r="F33" s="166"/>
      <c r="G33" s="166"/>
      <c r="H33" s="167">
        <f>(((E33*(1+Parâmetros!B11)*(1+Parâmetros!C11)*(1+Parâmetros!D11))+(F33*(1+Parâmetros!C11)*(1+Parâmetros!D11)+(G33*(1+Parâmetros!D11))))/3)*(1+Parâmetros!E11)</f>
        <v>0</v>
      </c>
      <c r="I33" s="167">
        <f>H33*(1+Parâmetros!F11)</f>
        <v>0</v>
      </c>
      <c r="J33" s="167">
        <f>I33*(1+Parâmetros!G11)</f>
        <v>0</v>
      </c>
    </row>
    <row r="34" spans="1:178" customFormat="1" ht="12.75" x14ac:dyDescent="0.2">
      <c r="A34" s="56" t="s">
        <v>210</v>
      </c>
      <c r="B34" s="158" t="s">
        <v>211</v>
      </c>
      <c r="C34" s="57" t="s">
        <v>315</v>
      </c>
      <c r="D34" s="166"/>
      <c r="E34" s="166"/>
      <c r="F34" s="166"/>
      <c r="G34" s="166"/>
      <c r="H34" s="167">
        <f>(((E34*(1+Parâmetros!B11)*(1+Parâmetros!C11)*(1+Parâmetros!D11))+(F34*(1+Parâmetros!C11)*(1+Parâmetros!D11)+(G34*(1+Parâmetros!D11))))/3)*(1+Parâmetros!E11)</f>
        <v>0</v>
      </c>
      <c r="I34" s="167">
        <f>H34*(1+Parâmetros!F11)</f>
        <v>0</v>
      </c>
      <c r="J34" s="167">
        <f>I34*(1+Parâmetros!G11)</f>
        <v>0</v>
      </c>
    </row>
    <row r="35" spans="1:178" s="7" customFormat="1" ht="25.5" customHeight="1" x14ac:dyDescent="0.25">
      <c r="A35" s="65"/>
      <c r="B35" s="144"/>
      <c r="C35" s="66" t="s">
        <v>316</v>
      </c>
      <c r="D35" s="62">
        <f t="shared" ref="D35:J35" si="6">D8+D18+D25+D28+D31</f>
        <v>2535168.98</v>
      </c>
      <c r="E35" s="62">
        <f t="shared" si="6"/>
        <v>1924793.6099999999</v>
      </c>
      <c r="F35" s="62">
        <f t="shared" si="6"/>
        <v>4795544.9400000004</v>
      </c>
      <c r="G35" s="62">
        <f t="shared" si="6"/>
        <v>3850235.5766666671</v>
      </c>
      <c r="H35" s="62">
        <f t="shared" si="6"/>
        <v>4627000.0006663296</v>
      </c>
      <c r="I35" s="62">
        <f t="shared" si="6"/>
        <v>4985781.6214490905</v>
      </c>
      <c r="J35" s="62">
        <f t="shared" si="6"/>
        <v>5335746.1956551392</v>
      </c>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c r="CQ35" s="39"/>
      <c r="CR35" s="39"/>
      <c r="CS35" s="39"/>
      <c r="CT35" s="39"/>
      <c r="CU35" s="39"/>
      <c r="CV35" s="39"/>
      <c r="CW35" s="39"/>
      <c r="CX35" s="39"/>
      <c r="CY35" s="39"/>
      <c r="CZ35" s="39"/>
      <c r="DA35" s="39"/>
      <c r="DB35" s="39"/>
      <c r="DC35" s="39"/>
      <c r="DD35" s="39"/>
      <c r="DE35" s="39"/>
      <c r="DF35" s="39"/>
      <c r="DG35" s="39"/>
      <c r="DH35" s="39"/>
      <c r="DI35" s="39"/>
      <c r="DJ35" s="39"/>
      <c r="DK35" s="39"/>
      <c r="DL35" s="39"/>
      <c r="DM35" s="39"/>
      <c r="DN35" s="39"/>
      <c r="DO35" s="39"/>
      <c r="DP35" s="39"/>
      <c r="DQ35" s="39"/>
      <c r="DR35" s="39"/>
      <c r="DS35" s="39"/>
      <c r="DT35" s="39"/>
      <c r="DU35" s="39"/>
      <c r="DV35" s="39"/>
      <c r="DW35" s="39"/>
      <c r="DX35" s="39"/>
      <c r="DY35" s="39"/>
      <c r="DZ35" s="39"/>
      <c r="EA35" s="39"/>
      <c r="EB35" s="39"/>
      <c r="EC35" s="39"/>
      <c r="ED35" s="39"/>
      <c r="EE35" s="39"/>
      <c r="EF35" s="39"/>
      <c r="EG35" s="39"/>
      <c r="EH35" s="39"/>
      <c r="EI35" s="39"/>
      <c r="EJ35" s="39"/>
      <c r="EK35" s="39"/>
      <c r="EL35" s="39"/>
      <c r="EM35" s="39"/>
      <c r="EN35" s="39"/>
      <c r="EO35" s="39"/>
      <c r="EP35" s="39"/>
      <c r="EQ35" s="39"/>
      <c r="ER35" s="39"/>
      <c r="ES35" s="39"/>
      <c r="ET35" s="39"/>
      <c r="EU35" s="39"/>
      <c r="EV35" s="39"/>
      <c r="EW35" s="39"/>
      <c r="EX35" s="39"/>
      <c r="EY35" s="39"/>
      <c r="EZ35" s="39"/>
      <c r="FA35" s="39"/>
      <c r="FB35" s="39"/>
      <c r="FC35" s="39"/>
      <c r="FD35" s="39"/>
      <c r="FE35" s="39"/>
      <c r="FF35" s="39"/>
      <c r="FG35" s="39"/>
      <c r="FH35" s="39"/>
      <c r="FI35" s="39"/>
      <c r="FJ35" s="39"/>
      <c r="FK35" s="39"/>
      <c r="FL35" s="39"/>
      <c r="FM35" s="39"/>
      <c r="FN35" s="39"/>
      <c r="FO35" s="39"/>
      <c r="FP35" s="39"/>
      <c r="FQ35" s="39"/>
      <c r="FR35" s="39"/>
      <c r="FS35" s="39"/>
      <c r="FT35" s="39"/>
      <c r="FU35" s="39"/>
      <c r="FV35" s="39"/>
    </row>
    <row r="36" spans="1:178" customFormat="1" ht="12.75" x14ac:dyDescent="0.2">
      <c r="A36" s="9"/>
      <c r="B36" s="145"/>
      <c r="C36" s="9"/>
      <c r="D36" s="422"/>
      <c r="E36" s="422"/>
      <c r="F36" s="422"/>
      <c r="G36" s="422"/>
      <c r="H36" s="86"/>
      <c r="I36" s="40"/>
      <c r="J36" s="40"/>
    </row>
    <row r="37" spans="1:178" customFormat="1" x14ac:dyDescent="0.25">
      <c r="A37" s="468" t="str">
        <f>Parâmetros!A7</f>
        <v>Município de :   NOVA PÁDUA</v>
      </c>
      <c r="B37" s="468"/>
      <c r="C37" s="467"/>
      <c r="D37" s="467"/>
      <c r="E37" s="467"/>
      <c r="F37" s="467"/>
      <c r="G37" s="467"/>
      <c r="H37" s="467"/>
      <c r="I37" s="467"/>
      <c r="J37" s="467"/>
    </row>
    <row r="38" spans="1:178" customFormat="1" x14ac:dyDescent="0.25">
      <c r="A38" s="467" t="str">
        <f>Parâmetros!A8</f>
        <v>LEI DE DIRETRIZES ORÇAMENTÁRIAS  PARA 2025</v>
      </c>
      <c r="B38" s="467"/>
      <c r="C38" s="467"/>
      <c r="D38" s="467"/>
      <c r="E38" s="467"/>
      <c r="F38" s="467"/>
      <c r="G38" s="467"/>
      <c r="H38" s="467"/>
      <c r="I38" s="467"/>
      <c r="J38" s="467"/>
    </row>
    <row r="39" spans="1:178" customFormat="1" x14ac:dyDescent="0.25">
      <c r="A39" s="466" t="s">
        <v>317</v>
      </c>
      <c r="B39" s="466"/>
      <c r="C39" s="467"/>
      <c r="D39" s="467"/>
      <c r="E39" s="467"/>
      <c r="F39" s="467"/>
      <c r="G39" s="467"/>
      <c r="H39" s="467"/>
      <c r="I39" s="467"/>
      <c r="J39" s="467"/>
    </row>
    <row r="40" spans="1:178" customFormat="1" ht="15" x14ac:dyDescent="0.2">
      <c r="A40" s="9"/>
      <c r="B40" s="145"/>
      <c r="C40" s="9"/>
      <c r="D40" s="422"/>
      <c r="E40" s="422"/>
      <c r="F40" s="422"/>
      <c r="G40" s="422"/>
      <c r="H40" s="40"/>
      <c r="I40" s="40"/>
      <c r="J40" s="15" t="s">
        <v>16</v>
      </c>
    </row>
    <row r="41" spans="1:178" s="1" customFormat="1" x14ac:dyDescent="0.25">
      <c r="A41" s="476" t="s">
        <v>215</v>
      </c>
      <c r="B41" s="477"/>
      <c r="C41" s="482" t="s">
        <v>216</v>
      </c>
      <c r="D41" s="67" t="s">
        <v>217</v>
      </c>
      <c r="E41" s="67" t="s">
        <v>217</v>
      </c>
      <c r="F41" s="67" t="s">
        <v>217</v>
      </c>
      <c r="G41" s="68" t="s">
        <v>218</v>
      </c>
      <c r="H41" s="68" t="s">
        <v>22</v>
      </c>
      <c r="I41" s="69" t="s">
        <v>22</v>
      </c>
      <c r="J41" s="70" t="s">
        <v>22</v>
      </c>
    </row>
    <row r="42" spans="1:178" s="1" customFormat="1" ht="27.75" customHeight="1" x14ac:dyDescent="0.25">
      <c r="A42" s="478"/>
      <c r="B42" s="479"/>
      <c r="C42" s="483"/>
      <c r="D42" s="423">
        <f>D7</f>
        <v>2021</v>
      </c>
      <c r="E42" s="424">
        <f t="shared" ref="E42:J42" si="7">D42+1</f>
        <v>2022</v>
      </c>
      <c r="F42" s="424">
        <f t="shared" si="7"/>
        <v>2023</v>
      </c>
      <c r="G42" s="424">
        <f t="shared" si="7"/>
        <v>2024</v>
      </c>
      <c r="H42" s="424">
        <f t="shared" si="7"/>
        <v>2025</v>
      </c>
      <c r="I42" s="424">
        <f t="shared" si="7"/>
        <v>2026</v>
      </c>
      <c r="J42" s="424">
        <f t="shared" si="7"/>
        <v>2027</v>
      </c>
    </row>
    <row r="43" spans="1:178" s="34" customFormat="1" x14ac:dyDescent="0.25">
      <c r="A43" s="471" t="s">
        <v>219</v>
      </c>
      <c r="B43" s="472"/>
      <c r="C43" s="425" t="s">
        <v>220</v>
      </c>
      <c r="D43" s="426">
        <f t="shared" ref="D43:J43" si="8">D44+D48+D52</f>
        <v>1023213.85</v>
      </c>
      <c r="E43" s="426">
        <f t="shared" si="8"/>
        <v>1090171.8</v>
      </c>
      <c r="F43" s="426">
        <f t="shared" si="8"/>
        <v>1575408.65</v>
      </c>
      <c r="G43" s="426">
        <f t="shared" si="8"/>
        <v>1875688.9</v>
      </c>
      <c r="H43" s="426">
        <f t="shared" si="8"/>
        <v>2000000.0031999999</v>
      </c>
      <c r="I43" s="426">
        <f t="shared" si="8"/>
        <v>2092790.3604426668</v>
      </c>
      <c r="J43" s="426">
        <f t="shared" si="8"/>
        <v>2208720.8926694579</v>
      </c>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37"/>
      <c r="DV43" s="37"/>
      <c r="DW43" s="37"/>
      <c r="DX43" s="37"/>
      <c r="DY43" s="37"/>
      <c r="DZ43" s="37"/>
      <c r="EA43" s="37"/>
      <c r="EB43" s="37"/>
      <c r="EC43" s="37"/>
      <c r="ED43" s="37"/>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c r="FD43" s="37"/>
      <c r="FE43" s="37"/>
      <c r="FF43" s="37"/>
      <c r="FG43" s="37"/>
      <c r="FH43" s="37"/>
      <c r="FI43" s="37"/>
      <c r="FJ43" s="37"/>
      <c r="FK43" s="37"/>
      <c r="FL43" s="37"/>
      <c r="FM43" s="37"/>
      <c r="FN43" s="37"/>
      <c r="FO43" s="37"/>
      <c r="FP43" s="37"/>
      <c r="FQ43" s="37"/>
      <c r="FR43" s="37"/>
      <c r="FS43" s="37"/>
      <c r="FT43" s="37"/>
      <c r="FU43" s="37"/>
      <c r="FV43" s="37"/>
    </row>
    <row r="44" spans="1:178" s="34" customFormat="1" x14ac:dyDescent="0.25">
      <c r="A44" s="484" t="s">
        <v>221</v>
      </c>
      <c r="B44" s="485"/>
      <c r="C44" s="425" t="s">
        <v>222</v>
      </c>
      <c r="D44" s="426">
        <f t="shared" ref="D44:J44" si="9">SUM(D45:D47)</f>
        <v>886683.21</v>
      </c>
      <c r="E44" s="426">
        <f t="shared" si="9"/>
        <v>1060585.74</v>
      </c>
      <c r="F44" s="426">
        <f t="shared" si="9"/>
        <v>1474990.91</v>
      </c>
      <c r="G44" s="426">
        <f t="shared" si="9"/>
        <v>1753109.94</v>
      </c>
      <c r="H44" s="426">
        <f t="shared" si="9"/>
        <v>1850000.0031999999</v>
      </c>
      <c r="I44" s="426">
        <f t="shared" si="9"/>
        <v>1935290.3604426668</v>
      </c>
      <c r="J44" s="426">
        <f t="shared" si="9"/>
        <v>2043345.8926694579</v>
      </c>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37"/>
      <c r="DV44" s="37"/>
      <c r="DW44" s="37"/>
      <c r="DX44" s="37"/>
      <c r="DY44" s="37"/>
      <c r="DZ44" s="37"/>
      <c r="EA44" s="37"/>
      <c r="EB44" s="37"/>
      <c r="EC44" s="37"/>
      <c r="ED44" s="37"/>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c r="FD44" s="37"/>
      <c r="FE44" s="37"/>
      <c r="FF44" s="37"/>
      <c r="FG44" s="37"/>
      <c r="FH44" s="37"/>
      <c r="FI44" s="37"/>
      <c r="FJ44" s="37"/>
      <c r="FK44" s="37"/>
      <c r="FL44" s="37"/>
      <c r="FM44" s="37"/>
      <c r="FN44" s="37"/>
      <c r="FO44" s="37"/>
      <c r="FP44" s="37"/>
      <c r="FQ44" s="37"/>
      <c r="FR44" s="37"/>
      <c r="FS44" s="37"/>
      <c r="FT44" s="37"/>
      <c r="FU44" s="37"/>
      <c r="FV44" s="37"/>
    </row>
    <row r="45" spans="1:178" s="6" customFormat="1" ht="14.25" customHeight="1" x14ac:dyDescent="0.2">
      <c r="A45" s="473" t="s">
        <v>221</v>
      </c>
      <c r="B45" s="472"/>
      <c r="C45" s="153" t="s">
        <v>318</v>
      </c>
      <c r="D45" s="33">
        <v>886683.21</v>
      </c>
      <c r="E45" s="33">
        <v>1060585.74</v>
      </c>
      <c r="F45" s="33">
        <v>1474990.91</v>
      </c>
      <c r="G45" s="33">
        <f>(843218.1/6.5)*13</f>
        <v>1686436.2</v>
      </c>
      <c r="H45" s="58">
        <f>(G45*1.05)+36128.43</f>
        <v>1806886.44</v>
      </c>
      <c r="I45" s="71">
        <f>H45*1.05</f>
        <v>1897230.7620000001</v>
      </c>
      <c r="J45" s="71">
        <f>I45*1.05</f>
        <v>1992092.3001000001</v>
      </c>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c r="DL45" s="37"/>
      <c r="DM45" s="37"/>
      <c r="DN45" s="37"/>
      <c r="DO45" s="37"/>
      <c r="DP45" s="37"/>
      <c r="DQ45" s="37"/>
      <c r="DR45" s="37"/>
      <c r="DS45" s="37"/>
      <c r="DT45" s="37"/>
      <c r="DU45" s="37"/>
      <c r="DV45" s="37"/>
      <c r="DW45" s="37"/>
      <c r="DX45" s="37"/>
      <c r="DY45" s="37"/>
      <c r="DZ45" s="37"/>
      <c r="EA45" s="37"/>
      <c r="EB45" s="37"/>
      <c r="EC45" s="37"/>
      <c r="ED45" s="37"/>
      <c r="EE45" s="37"/>
      <c r="EF45" s="37"/>
      <c r="EG45" s="37"/>
      <c r="EH45" s="37"/>
      <c r="EI45" s="37"/>
      <c r="EJ45" s="37"/>
      <c r="EK45" s="37"/>
      <c r="EL45" s="37"/>
      <c r="EM45" s="37"/>
      <c r="EN45" s="37"/>
      <c r="EO45" s="37"/>
      <c r="EP45" s="37"/>
      <c r="EQ45" s="37"/>
      <c r="ER45" s="37"/>
      <c r="ES45" s="37"/>
      <c r="ET45" s="37"/>
      <c r="EU45" s="37"/>
      <c r="EV45" s="37"/>
      <c r="EW45" s="37"/>
      <c r="EX45" s="37"/>
      <c r="EY45" s="37"/>
      <c r="EZ45" s="37"/>
      <c r="FA45" s="37"/>
      <c r="FB45" s="37"/>
      <c r="FC45" s="37"/>
      <c r="FD45" s="37"/>
      <c r="FE45" s="37"/>
      <c r="FF45" s="37"/>
      <c r="FG45" s="37"/>
      <c r="FH45" s="37"/>
      <c r="FI45" s="37"/>
      <c r="FJ45" s="37"/>
      <c r="FK45" s="37"/>
      <c r="FL45" s="37"/>
      <c r="FM45" s="37"/>
      <c r="FN45" s="37"/>
      <c r="FO45" s="37"/>
      <c r="FP45" s="37"/>
      <c r="FQ45" s="37"/>
      <c r="FR45" s="37"/>
      <c r="FS45" s="37"/>
      <c r="FT45" s="37"/>
      <c r="FU45" s="37"/>
      <c r="FV45" s="37"/>
    </row>
    <row r="46" spans="1:178" s="6" customFormat="1" ht="14.25" customHeight="1" x14ac:dyDescent="0.25">
      <c r="A46" s="473" t="s">
        <v>221</v>
      </c>
      <c r="B46" s="472"/>
      <c r="C46" s="153" t="s">
        <v>225</v>
      </c>
      <c r="D46" s="33"/>
      <c r="E46" s="33"/>
      <c r="F46" s="33"/>
      <c r="G46" s="33">
        <f>66673.74</f>
        <v>66673.740000000005</v>
      </c>
      <c r="H46" s="58">
        <f>((E46+F46+G46)/3)*(1+Parâmetros!E11)+20000</f>
        <v>43113.563200000004</v>
      </c>
      <c r="I46" s="58">
        <f>((F46+G46+H46)/3)*(1+Parâmetros!F11)</f>
        <v>38059.598442666669</v>
      </c>
      <c r="J46" s="58">
        <f>((G46+H46+I46)/3)*(1+Parâmetros!G11)</f>
        <v>51253.592569457782</v>
      </c>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37"/>
      <c r="DV46" s="37"/>
      <c r="DW46" s="37"/>
      <c r="DX46" s="37"/>
      <c r="DY46" s="37"/>
      <c r="DZ46" s="37"/>
      <c r="EA46" s="37"/>
      <c r="EB46" s="37"/>
      <c r="EC46" s="37"/>
      <c r="ED46" s="37"/>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c r="FD46" s="37"/>
      <c r="FE46" s="37"/>
      <c r="FF46" s="37"/>
      <c r="FG46" s="37"/>
      <c r="FH46" s="37"/>
      <c r="FI46" s="37"/>
      <c r="FJ46" s="37"/>
      <c r="FK46" s="37"/>
      <c r="FL46" s="37"/>
      <c r="FM46" s="37"/>
      <c r="FN46" s="37"/>
      <c r="FO46" s="37"/>
      <c r="FP46" s="37"/>
      <c r="FQ46" s="37"/>
      <c r="FR46" s="37"/>
      <c r="FS46" s="37"/>
      <c r="FT46" s="37"/>
      <c r="FU46" s="37"/>
      <c r="FV46" s="37"/>
    </row>
    <row r="47" spans="1:178" s="82" customFormat="1" ht="14.25" customHeight="1" x14ac:dyDescent="0.25">
      <c r="A47" s="473" t="s">
        <v>226</v>
      </c>
      <c r="B47" s="472"/>
      <c r="C47" s="153" t="s">
        <v>227</v>
      </c>
      <c r="D47" s="33"/>
      <c r="E47" s="33"/>
      <c r="F47" s="33"/>
      <c r="G47" s="33"/>
      <c r="H47" s="58">
        <f>((E47+F47+G47)/3)*(1+Parâmetros!E11)</f>
        <v>0</v>
      </c>
      <c r="I47" s="71">
        <f>((F47+G47+H47)/3)*(1+Parâmetros!F11)</f>
        <v>0</v>
      </c>
      <c r="J47" s="71">
        <f>((G47+H47+I47)/3)*(1+Parâmetros!G11)</f>
        <v>0</v>
      </c>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c r="EN47" s="81"/>
      <c r="EO47" s="81"/>
      <c r="EP47" s="81"/>
      <c r="EQ47" s="81"/>
      <c r="ER47" s="81"/>
      <c r="ES47" s="81"/>
      <c r="ET47" s="81"/>
      <c r="EU47" s="81"/>
      <c r="EV47" s="81"/>
      <c r="EW47" s="81"/>
      <c r="EX47" s="81"/>
      <c r="EY47" s="81"/>
      <c r="EZ47" s="81"/>
      <c r="FA47" s="81"/>
      <c r="FB47" s="81"/>
      <c r="FC47" s="81"/>
      <c r="FD47" s="81"/>
      <c r="FE47" s="81"/>
      <c r="FF47" s="81"/>
      <c r="FG47" s="81"/>
      <c r="FH47" s="81"/>
      <c r="FI47" s="81"/>
      <c r="FJ47" s="81"/>
      <c r="FK47" s="81"/>
      <c r="FL47" s="81"/>
      <c r="FM47" s="81"/>
      <c r="FN47" s="81"/>
      <c r="FO47" s="81"/>
      <c r="FP47" s="81"/>
      <c r="FQ47" s="81"/>
      <c r="FR47" s="81"/>
      <c r="FS47" s="81"/>
      <c r="FT47" s="81"/>
      <c r="FU47" s="81"/>
      <c r="FV47" s="81"/>
    </row>
    <row r="48" spans="1:178" s="35" customFormat="1" x14ac:dyDescent="0.25">
      <c r="A48" s="471" t="s">
        <v>228</v>
      </c>
      <c r="B48" s="472"/>
      <c r="C48" s="425" t="s">
        <v>229</v>
      </c>
      <c r="D48" s="426">
        <f t="shared" ref="D48:J48" si="10">SUM(D49:D51)</f>
        <v>0</v>
      </c>
      <c r="E48" s="426">
        <f t="shared" si="10"/>
        <v>0</v>
      </c>
      <c r="F48" s="426">
        <f t="shared" si="10"/>
        <v>0</v>
      </c>
      <c r="G48" s="426">
        <f t="shared" si="10"/>
        <v>0</v>
      </c>
      <c r="H48" s="426">
        <f t="shared" si="10"/>
        <v>0</v>
      </c>
      <c r="I48" s="426">
        <f t="shared" si="10"/>
        <v>0</v>
      </c>
      <c r="J48" s="426">
        <f t="shared" si="10"/>
        <v>0</v>
      </c>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row>
    <row r="49" spans="1:178" customFormat="1" ht="15" x14ac:dyDescent="0.2">
      <c r="A49" s="473" t="s">
        <v>228</v>
      </c>
      <c r="B49" s="472"/>
      <c r="C49" s="153" t="s">
        <v>319</v>
      </c>
      <c r="D49" s="33"/>
      <c r="E49" s="33"/>
      <c r="F49" s="33"/>
      <c r="G49" s="33"/>
      <c r="H49" s="58">
        <f>(((E49*(1+Parâmetros!B11)*(1+Parâmetros!C11)*(1+Parâmetros!D11))+(F49*(1+Parâmetros!C11)*(1+Parâmetros!D11)+(G49*(1+Parâmetros!D11))))/3)*(1+Parâmetros!E21)</f>
        <v>0</v>
      </c>
      <c r="I49" s="71">
        <f>H49*(1+Parâmetros!F21)</f>
        <v>0</v>
      </c>
      <c r="J49" s="71">
        <f>I49*(1+Parâmetros!G21)</f>
        <v>0</v>
      </c>
    </row>
    <row r="50" spans="1:178" customFormat="1" x14ac:dyDescent="0.25">
      <c r="A50" s="473" t="s">
        <v>228</v>
      </c>
      <c r="B50" s="472"/>
      <c r="C50" s="153" t="s">
        <v>232</v>
      </c>
      <c r="D50" s="33"/>
      <c r="E50" s="33"/>
      <c r="F50" s="33"/>
      <c r="G50" s="33"/>
      <c r="H50" s="58">
        <f>((E50+F50+G50)/3)*(1+Parâmetros!E11)</f>
        <v>0</v>
      </c>
      <c r="I50" s="58">
        <f>((F50+G50+H50)/3)*(1+Parâmetros!F11)</f>
        <v>0</v>
      </c>
      <c r="J50" s="58">
        <f>((G50+H50+I50)/3)*(1+Parâmetros!G11)</f>
        <v>0</v>
      </c>
    </row>
    <row r="51" spans="1:178" customFormat="1" x14ac:dyDescent="0.25">
      <c r="A51" s="473" t="s">
        <v>233</v>
      </c>
      <c r="B51" s="472"/>
      <c r="C51" s="153" t="s">
        <v>234</v>
      </c>
      <c r="D51" s="33"/>
      <c r="E51" s="33"/>
      <c r="F51" s="33"/>
      <c r="G51" s="33"/>
      <c r="H51" s="58">
        <f>((E51+F51+G51)/3)*(1+Parâmetros!E11)</f>
        <v>0</v>
      </c>
      <c r="I51" s="58">
        <f>((F51+G51+H51)/3)*(1+Parâmetros!F11)</f>
        <v>0</v>
      </c>
      <c r="J51" s="58">
        <f>((G51+H51+I51)/3)*(1+Parâmetros!G11)</f>
        <v>0</v>
      </c>
    </row>
    <row r="52" spans="1:178" s="34" customFormat="1" x14ac:dyDescent="0.25">
      <c r="A52" s="471" t="s">
        <v>235</v>
      </c>
      <c r="B52" s="472"/>
      <c r="C52" s="425" t="s">
        <v>236</v>
      </c>
      <c r="D52" s="426">
        <f t="shared" ref="D52:J52" si="11">SUM(D53:D55)</f>
        <v>136530.64000000001</v>
      </c>
      <c r="E52" s="426">
        <f t="shared" si="11"/>
        <v>29586.06</v>
      </c>
      <c r="F52" s="426">
        <f t="shared" si="11"/>
        <v>100417.74</v>
      </c>
      <c r="G52" s="426">
        <f t="shared" si="11"/>
        <v>122578.96</v>
      </c>
      <c r="H52" s="426">
        <f t="shared" si="11"/>
        <v>150000</v>
      </c>
      <c r="I52" s="426">
        <f t="shared" si="11"/>
        <v>157500</v>
      </c>
      <c r="J52" s="426">
        <f t="shared" si="11"/>
        <v>165375</v>
      </c>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37"/>
      <c r="BS52" s="37"/>
      <c r="BT52" s="37"/>
      <c r="BU52" s="37"/>
      <c r="BV52" s="37"/>
      <c r="BW52" s="37"/>
      <c r="BX52" s="37"/>
      <c r="BY52" s="37"/>
      <c r="BZ52" s="37"/>
      <c r="CA52" s="37"/>
      <c r="CB52" s="37"/>
      <c r="CC52" s="37"/>
      <c r="CD52" s="37"/>
      <c r="CE52" s="37"/>
      <c r="CF52" s="37"/>
      <c r="CG52" s="37"/>
      <c r="CH52" s="37"/>
      <c r="CI52" s="37"/>
      <c r="CJ52" s="37"/>
      <c r="CK52" s="37"/>
      <c r="CL52" s="37"/>
      <c r="CM52" s="37"/>
      <c r="CN52" s="37"/>
      <c r="CO52" s="37"/>
      <c r="CP52" s="37"/>
      <c r="CQ52" s="37"/>
      <c r="CR52" s="37"/>
      <c r="CS52" s="37"/>
      <c r="CT52" s="37"/>
      <c r="CU52" s="37"/>
      <c r="CV52" s="37"/>
      <c r="CW52" s="37"/>
      <c r="CX52" s="37"/>
      <c r="CY52" s="37"/>
      <c r="CZ52" s="37"/>
      <c r="DA52" s="37"/>
      <c r="DB52" s="37"/>
      <c r="DC52" s="37"/>
      <c r="DD52" s="37"/>
      <c r="DE52" s="37"/>
      <c r="DF52" s="37"/>
      <c r="DG52" s="37"/>
      <c r="DH52" s="37"/>
      <c r="DI52" s="37"/>
      <c r="DJ52" s="37"/>
      <c r="DK52" s="37"/>
      <c r="DL52" s="37"/>
      <c r="DM52" s="37"/>
      <c r="DN52" s="37"/>
      <c r="DO52" s="37"/>
      <c r="DP52" s="37"/>
      <c r="DQ52" s="37"/>
      <c r="DR52" s="37"/>
      <c r="DS52" s="37"/>
      <c r="DT52" s="37"/>
      <c r="DU52" s="37"/>
      <c r="DV52" s="37"/>
      <c r="DW52" s="37"/>
      <c r="DX52" s="37"/>
      <c r="DY52" s="37"/>
      <c r="DZ52" s="37"/>
      <c r="EA52" s="37"/>
      <c r="EB52" s="37"/>
      <c r="EC52" s="37"/>
      <c r="ED52" s="37"/>
      <c r="EE52" s="37"/>
      <c r="EF52" s="37"/>
      <c r="EG52" s="37"/>
      <c r="EH52" s="37"/>
      <c r="EI52" s="37"/>
      <c r="EJ52" s="37"/>
      <c r="EK52" s="37"/>
      <c r="EL52" s="37"/>
      <c r="EM52" s="37"/>
      <c r="EN52" s="37"/>
      <c r="EO52" s="37"/>
      <c r="EP52" s="37"/>
      <c r="EQ52" s="37"/>
      <c r="ER52" s="37"/>
      <c r="ES52" s="37"/>
      <c r="ET52" s="37"/>
      <c r="EU52" s="37"/>
      <c r="EV52" s="37"/>
      <c r="EW52" s="37"/>
      <c r="EX52" s="37"/>
      <c r="EY52" s="37"/>
      <c r="EZ52" s="37"/>
      <c r="FA52" s="37"/>
      <c r="FB52" s="37"/>
      <c r="FC52" s="37"/>
      <c r="FD52" s="37"/>
      <c r="FE52" s="37"/>
      <c r="FF52" s="37"/>
      <c r="FG52" s="37"/>
      <c r="FH52" s="37"/>
      <c r="FI52" s="37"/>
      <c r="FJ52" s="37"/>
      <c r="FK52" s="37"/>
      <c r="FL52" s="37"/>
      <c r="FM52" s="37"/>
      <c r="FN52" s="37"/>
      <c r="FO52" s="37"/>
      <c r="FP52" s="37"/>
      <c r="FQ52" s="37"/>
      <c r="FR52" s="37"/>
      <c r="FS52" s="37"/>
      <c r="FT52" s="37"/>
      <c r="FU52" s="37"/>
      <c r="FV52" s="37"/>
    </row>
    <row r="53" spans="1:178" s="6" customFormat="1" ht="15" x14ac:dyDescent="0.2">
      <c r="A53" s="473" t="s">
        <v>235</v>
      </c>
      <c r="B53" s="472"/>
      <c r="C53" s="153" t="s">
        <v>320</v>
      </c>
      <c r="D53" s="33">
        <v>136530.64000000001</v>
      </c>
      <c r="E53" s="33">
        <v>29586.06</v>
      </c>
      <c r="F53" s="33">
        <v>92666.28</v>
      </c>
      <c r="G53" s="33">
        <f>(61289.48/6)*12</f>
        <v>122578.96</v>
      </c>
      <c r="H53" s="58">
        <v>150000</v>
      </c>
      <c r="I53" s="71">
        <f>H53*1.05</f>
        <v>157500</v>
      </c>
      <c r="J53" s="71">
        <f>I53*1.05</f>
        <v>165375</v>
      </c>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37"/>
      <c r="BS53" s="37"/>
      <c r="BT53" s="37"/>
      <c r="BU53" s="37"/>
      <c r="BV53" s="37"/>
      <c r="BW53" s="37"/>
      <c r="BX53" s="37"/>
      <c r="BY53" s="37"/>
      <c r="BZ53" s="37"/>
      <c r="CA53" s="37"/>
      <c r="CB53" s="37"/>
      <c r="CC53" s="37"/>
      <c r="CD53" s="37"/>
      <c r="CE53" s="37"/>
      <c r="CF53" s="37"/>
      <c r="CG53" s="37"/>
      <c r="CH53" s="37"/>
      <c r="CI53" s="37"/>
      <c r="CJ53" s="37"/>
      <c r="CK53" s="37"/>
      <c r="CL53" s="37"/>
      <c r="CM53" s="37"/>
      <c r="CN53" s="37"/>
      <c r="CO53" s="37"/>
      <c r="CP53" s="37"/>
      <c r="CQ53" s="37"/>
      <c r="CR53" s="37"/>
      <c r="CS53" s="37"/>
      <c r="CT53" s="37"/>
      <c r="CU53" s="37"/>
      <c r="CV53" s="37"/>
      <c r="CW53" s="37"/>
      <c r="CX53" s="37"/>
      <c r="CY53" s="37"/>
      <c r="CZ53" s="37"/>
      <c r="DA53" s="37"/>
      <c r="DB53" s="37"/>
      <c r="DC53" s="37"/>
      <c r="DD53" s="37"/>
      <c r="DE53" s="37"/>
      <c r="DF53" s="37"/>
      <c r="DG53" s="37"/>
      <c r="DH53" s="37"/>
      <c r="DI53" s="37"/>
      <c r="DJ53" s="37"/>
      <c r="DK53" s="37"/>
      <c r="DL53" s="37"/>
      <c r="DM53" s="37"/>
      <c r="DN53" s="37"/>
      <c r="DO53" s="37"/>
      <c r="DP53" s="37"/>
      <c r="DQ53" s="37"/>
      <c r="DR53" s="37"/>
      <c r="DS53" s="37"/>
      <c r="DT53" s="37"/>
      <c r="DU53" s="37"/>
      <c r="DV53" s="37"/>
      <c r="DW53" s="37"/>
      <c r="DX53" s="37"/>
      <c r="DY53" s="37"/>
      <c r="DZ53" s="37"/>
      <c r="EA53" s="37"/>
      <c r="EB53" s="37"/>
      <c r="EC53" s="37"/>
      <c r="ED53" s="37"/>
      <c r="EE53" s="37"/>
      <c r="EF53" s="37"/>
      <c r="EG53" s="37"/>
      <c r="EH53" s="37"/>
      <c r="EI53" s="37"/>
      <c r="EJ53" s="37"/>
      <c r="EK53" s="37"/>
      <c r="EL53" s="37"/>
      <c r="EM53" s="37"/>
      <c r="EN53" s="37"/>
      <c r="EO53" s="37"/>
      <c r="EP53" s="37"/>
      <c r="EQ53" s="37"/>
      <c r="ER53" s="37"/>
      <c r="ES53" s="37"/>
      <c r="ET53" s="37"/>
      <c r="EU53" s="37"/>
      <c r="EV53" s="37"/>
      <c r="EW53" s="37"/>
      <c r="EX53" s="37"/>
      <c r="EY53" s="37"/>
      <c r="EZ53" s="37"/>
      <c r="FA53" s="37"/>
      <c r="FB53" s="37"/>
      <c r="FC53" s="37"/>
      <c r="FD53" s="37"/>
      <c r="FE53" s="37"/>
      <c r="FF53" s="37"/>
      <c r="FG53" s="37"/>
      <c r="FH53" s="37"/>
      <c r="FI53" s="37"/>
      <c r="FJ53" s="37"/>
      <c r="FK53" s="37"/>
      <c r="FL53" s="37"/>
      <c r="FM53" s="37"/>
      <c r="FN53" s="37"/>
      <c r="FO53" s="37"/>
      <c r="FP53" s="37"/>
      <c r="FQ53" s="37"/>
      <c r="FR53" s="37"/>
      <c r="FS53" s="37"/>
      <c r="FT53" s="37"/>
      <c r="FU53" s="37"/>
      <c r="FV53" s="37"/>
    </row>
    <row r="54" spans="1:178" s="6" customFormat="1" x14ac:dyDescent="0.25">
      <c r="A54" s="473" t="s">
        <v>235</v>
      </c>
      <c r="B54" s="472"/>
      <c r="C54" s="153" t="s">
        <v>239</v>
      </c>
      <c r="D54" s="33"/>
      <c r="E54" s="33"/>
      <c r="F54" s="33">
        <v>7751.46</v>
      </c>
      <c r="G54" s="33"/>
      <c r="H54" s="58"/>
      <c r="I54" s="58"/>
      <c r="J54" s="58">
        <f>((G54+H54+I54)/3)*(1+Parâmetros!G11)</f>
        <v>0</v>
      </c>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7"/>
      <c r="BS54" s="37"/>
      <c r="BT54" s="37"/>
      <c r="BU54" s="37"/>
      <c r="BV54" s="37"/>
      <c r="BW54" s="37"/>
      <c r="BX54" s="37"/>
      <c r="BY54" s="37"/>
      <c r="BZ54" s="37"/>
      <c r="CA54" s="37"/>
      <c r="CB54" s="37"/>
      <c r="CC54" s="37"/>
      <c r="CD54" s="37"/>
      <c r="CE54" s="37"/>
      <c r="CF54" s="37"/>
      <c r="CG54" s="37"/>
      <c r="CH54" s="37"/>
      <c r="CI54" s="37"/>
      <c r="CJ54" s="37"/>
      <c r="CK54" s="37"/>
      <c r="CL54" s="37"/>
      <c r="CM54" s="37"/>
      <c r="CN54" s="37"/>
      <c r="CO54" s="37"/>
      <c r="CP54" s="37"/>
      <c r="CQ54" s="37"/>
      <c r="CR54" s="37"/>
      <c r="CS54" s="37"/>
      <c r="CT54" s="37"/>
      <c r="CU54" s="37"/>
      <c r="CV54" s="37"/>
      <c r="CW54" s="37"/>
      <c r="CX54" s="37"/>
      <c r="CY54" s="37"/>
      <c r="CZ54" s="37"/>
      <c r="DA54" s="37"/>
      <c r="DB54" s="37"/>
      <c r="DC54" s="37"/>
      <c r="DD54" s="37"/>
      <c r="DE54" s="37"/>
      <c r="DF54" s="37"/>
      <c r="DG54" s="37"/>
      <c r="DH54" s="37"/>
      <c r="DI54" s="37"/>
      <c r="DJ54" s="37"/>
      <c r="DK54" s="37"/>
      <c r="DL54" s="37"/>
      <c r="DM54" s="37"/>
      <c r="DN54" s="37"/>
      <c r="DO54" s="37"/>
      <c r="DP54" s="37"/>
      <c r="DQ54" s="37"/>
      <c r="DR54" s="37"/>
      <c r="DS54" s="37"/>
      <c r="DT54" s="37"/>
      <c r="DU54" s="37"/>
      <c r="DV54" s="37"/>
      <c r="DW54" s="37"/>
      <c r="DX54" s="37"/>
      <c r="DY54" s="37"/>
      <c r="DZ54" s="37"/>
      <c r="EA54" s="37"/>
      <c r="EB54" s="37"/>
      <c r="EC54" s="37"/>
      <c r="ED54" s="37"/>
      <c r="EE54" s="37"/>
      <c r="EF54" s="37"/>
      <c r="EG54" s="37"/>
      <c r="EH54" s="37"/>
      <c r="EI54" s="37"/>
      <c r="EJ54" s="37"/>
      <c r="EK54" s="37"/>
      <c r="EL54" s="37"/>
      <c r="EM54" s="37"/>
      <c r="EN54" s="37"/>
      <c r="EO54" s="37"/>
      <c r="EP54" s="37"/>
      <c r="EQ54" s="37"/>
      <c r="ER54" s="37"/>
      <c r="ES54" s="37"/>
      <c r="ET54" s="37"/>
      <c r="EU54" s="37"/>
      <c r="EV54" s="37"/>
      <c r="EW54" s="37"/>
      <c r="EX54" s="37"/>
      <c r="EY54" s="37"/>
      <c r="EZ54" s="37"/>
      <c r="FA54" s="37"/>
      <c r="FB54" s="37"/>
      <c r="FC54" s="37"/>
      <c r="FD54" s="37"/>
      <c r="FE54" s="37"/>
      <c r="FF54" s="37"/>
      <c r="FG54" s="37"/>
      <c r="FH54" s="37"/>
      <c r="FI54" s="37"/>
      <c r="FJ54" s="37"/>
      <c r="FK54" s="37"/>
      <c r="FL54" s="37"/>
      <c r="FM54" s="37"/>
      <c r="FN54" s="37"/>
      <c r="FO54" s="37"/>
      <c r="FP54" s="37"/>
      <c r="FQ54" s="37"/>
      <c r="FR54" s="37"/>
      <c r="FS54" s="37"/>
      <c r="FT54" s="37"/>
      <c r="FU54" s="37"/>
      <c r="FV54" s="37"/>
    </row>
    <row r="55" spans="1:178" s="6" customFormat="1" x14ac:dyDescent="0.25">
      <c r="A55" s="473" t="s">
        <v>240</v>
      </c>
      <c r="B55" s="472"/>
      <c r="C55" s="153" t="s">
        <v>241</v>
      </c>
      <c r="D55" s="33"/>
      <c r="E55" s="33"/>
      <c r="F55" s="33"/>
      <c r="G55" s="33"/>
      <c r="H55" s="58">
        <f>((E55+F55+G55)/3)*(1+Parâmetros!E11)</f>
        <v>0</v>
      </c>
      <c r="I55" s="58">
        <f>((F55+G55+H55)/3)*(1+Parâmetros!F11)</f>
        <v>0</v>
      </c>
      <c r="J55" s="58">
        <f>((G55+H55+I55)/3)*(1+Parâmetros!G11)</f>
        <v>0</v>
      </c>
      <c r="K55" s="37"/>
      <c r="L55" s="83" t="s">
        <v>242</v>
      </c>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37"/>
      <c r="BS55" s="37"/>
      <c r="BT55" s="37"/>
      <c r="BU55" s="37"/>
      <c r="BV55" s="37"/>
      <c r="BW55" s="37"/>
      <c r="BX55" s="37"/>
      <c r="BY55" s="37"/>
      <c r="BZ55" s="37"/>
      <c r="CA55" s="37"/>
      <c r="CB55" s="37"/>
      <c r="CC55" s="37"/>
      <c r="CD55" s="37"/>
      <c r="CE55" s="37"/>
      <c r="CF55" s="37"/>
      <c r="CG55" s="37"/>
      <c r="CH55" s="37"/>
      <c r="CI55" s="37"/>
      <c r="CJ55" s="37"/>
      <c r="CK55" s="37"/>
      <c r="CL55" s="37"/>
      <c r="CM55" s="37"/>
      <c r="CN55" s="37"/>
      <c r="CO55" s="37"/>
      <c r="CP55" s="37"/>
      <c r="CQ55" s="37"/>
      <c r="CR55" s="37"/>
      <c r="CS55" s="37"/>
      <c r="CT55" s="37"/>
      <c r="CU55" s="37"/>
      <c r="CV55" s="37"/>
      <c r="CW55" s="37"/>
      <c r="CX55" s="37"/>
      <c r="CY55" s="37"/>
      <c r="CZ55" s="37"/>
      <c r="DA55" s="37"/>
      <c r="DB55" s="37"/>
      <c r="DC55" s="37"/>
      <c r="DD55" s="37"/>
      <c r="DE55" s="37"/>
      <c r="DF55" s="37"/>
      <c r="DG55" s="37"/>
      <c r="DH55" s="37"/>
      <c r="DI55" s="37"/>
      <c r="DJ55" s="37"/>
      <c r="DK55" s="37"/>
      <c r="DL55" s="37"/>
      <c r="DM55" s="37"/>
      <c r="DN55" s="37"/>
      <c r="DO55" s="37"/>
      <c r="DP55" s="37"/>
      <c r="DQ55" s="37"/>
      <c r="DR55" s="37"/>
      <c r="DS55" s="37"/>
      <c r="DT55" s="37"/>
      <c r="DU55" s="37"/>
      <c r="DV55" s="37"/>
      <c r="DW55" s="37"/>
      <c r="DX55" s="37"/>
      <c r="DY55" s="37"/>
      <c r="DZ55" s="37"/>
      <c r="EA55" s="37"/>
      <c r="EB55" s="37"/>
      <c r="EC55" s="37"/>
      <c r="ED55" s="37"/>
      <c r="EE55" s="37"/>
      <c r="EF55" s="37"/>
      <c r="EG55" s="37"/>
      <c r="EH55" s="37"/>
      <c r="EI55" s="37"/>
      <c r="EJ55" s="37"/>
      <c r="EK55" s="37"/>
      <c r="EL55" s="37"/>
      <c r="EM55" s="37"/>
      <c r="EN55" s="37"/>
      <c r="EO55" s="37"/>
      <c r="EP55" s="37"/>
      <c r="EQ55" s="37"/>
      <c r="ER55" s="37"/>
      <c r="ES55" s="37"/>
      <c r="ET55" s="37"/>
      <c r="EU55" s="37"/>
      <c r="EV55" s="37"/>
      <c r="EW55" s="37"/>
      <c r="EX55" s="37"/>
      <c r="EY55" s="37"/>
      <c r="EZ55" s="37"/>
      <c r="FA55" s="37"/>
      <c r="FB55" s="37"/>
      <c r="FC55" s="37"/>
      <c r="FD55" s="37"/>
      <c r="FE55" s="37"/>
      <c r="FF55" s="37"/>
      <c r="FG55" s="37"/>
      <c r="FH55" s="37"/>
      <c r="FI55" s="37"/>
      <c r="FJ55" s="37"/>
      <c r="FK55" s="37"/>
      <c r="FL55" s="37"/>
      <c r="FM55" s="37"/>
      <c r="FN55" s="37"/>
      <c r="FO55" s="37"/>
      <c r="FP55" s="37"/>
      <c r="FQ55" s="37"/>
      <c r="FR55" s="37"/>
      <c r="FS55" s="37"/>
      <c r="FT55" s="37"/>
      <c r="FU55" s="37"/>
      <c r="FV55" s="37"/>
    </row>
    <row r="56" spans="1:178" s="34" customFormat="1" x14ac:dyDescent="0.25">
      <c r="A56" s="471" t="s">
        <v>243</v>
      </c>
      <c r="B56" s="472"/>
      <c r="C56" s="425" t="s">
        <v>244</v>
      </c>
      <c r="D56" s="426">
        <f t="shared" ref="D56:J56" si="12">D57+D61+D65</f>
        <v>0</v>
      </c>
      <c r="E56" s="426">
        <f t="shared" si="12"/>
        <v>0</v>
      </c>
      <c r="F56" s="426">
        <f t="shared" si="12"/>
        <v>0</v>
      </c>
      <c r="G56" s="426">
        <f t="shared" si="12"/>
        <v>0</v>
      </c>
      <c r="H56" s="426">
        <f t="shared" si="12"/>
        <v>0</v>
      </c>
      <c r="I56" s="426">
        <f t="shared" si="12"/>
        <v>0</v>
      </c>
      <c r="J56" s="426">
        <f t="shared" si="12"/>
        <v>0</v>
      </c>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37"/>
      <c r="BS56" s="37"/>
      <c r="BT56" s="37"/>
      <c r="BU56" s="37"/>
      <c r="BV56" s="37"/>
      <c r="BW56" s="37"/>
      <c r="BX56" s="37"/>
      <c r="BY56" s="37"/>
      <c r="BZ56" s="37"/>
      <c r="CA56" s="37"/>
      <c r="CB56" s="37"/>
      <c r="CC56" s="37"/>
      <c r="CD56" s="37"/>
      <c r="CE56" s="37"/>
      <c r="CF56" s="37"/>
      <c r="CG56" s="37"/>
      <c r="CH56" s="37"/>
      <c r="CI56" s="37"/>
      <c r="CJ56" s="37"/>
      <c r="CK56" s="37"/>
      <c r="CL56" s="37"/>
      <c r="CM56" s="37"/>
      <c r="CN56" s="37"/>
      <c r="CO56" s="37"/>
      <c r="CP56" s="37"/>
      <c r="CQ56" s="37"/>
      <c r="CR56" s="37"/>
      <c r="CS56" s="37"/>
      <c r="CT56" s="37"/>
      <c r="CU56" s="37"/>
      <c r="CV56" s="37"/>
      <c r="CW56" s="37"/>
      <c r="CX56" s="37"/>
      <c r="CY56" s="37"/>
      <c r="CZ56" s="37"/>
      <c r="DA56" s="37"/>
      <c r="DB56" s="37"/>
      <c r="DC56" s="37"/>
      <c r="DD56" s="37"/>
      <c r="DE56" s="37"/>
      <c r="DF56" s="37"/>
      <c r="DG56" s="37"/>
      <c r="DH56" s="37"/>
      <c r="DI56" s="37"/>
      <c r="DJ56" s="37"/>
      <c r="DK56" s="37"/>
      <c r="DL56" s="37"/>
      <c r="DM56" s="37"/>
      <c r="DN56" s="37"/>
      <c r="DO56" s="37"/>
      <c r="DP56" s="37"/>
      <c r="DQ56" s="37"/>
      <c r="DR56" s="37"/>
      <c r="DS56" s="37"/>
      <c r="DT56" s="37"/>
      <c r="DU56" s="37"/>
      <c r="DV56" s="37"/>
      <c r="DW56" s="37"/>
      <c r="DX56" s="37"/>
      <c r="DY56" s="37"/>
      <c r="DZ56" s="37"/>
      <c r="EA56" s="37"/>
      <c r="EB56" s="37"/>
      <c r="EC56" s="37"/>
      <c r="ED56" s="37"/>
      <c r="EE56" s="37"/>
      <c r="EF56" s="37"/>
      <c r="EG56" s="37"/>
      <c r="EH56" s="37"/>
      <c r="EI56" s="37"/>
      <c r="EJ56" s="37"/>
      <c r="EK56" s="37"/>
      <c r="EL56" s="37"/>
      <c r="EM56" s="37"/>
      <c r="EN56" s="37"/>
      <c r="EO56" s="37"/>
      <c r="EP56" s="37"/>
      <c r="EQ56" s="37"/>
      <c r="ER56" s="37"/>
      <c r="ES56" s="37"/>
      <c r="ET56" s="37"/>
      <c r="EU56" s="37"/>
      <c r="EV56" s="37"/>
      <c r="EW56" s="37"/>
      <c r="EX56" s="37"/>
      <c r="EY56" s="37"/>
      <c r="EZ56" s="37"/>
      <c r="FA56" s="37"/>
      <c r="FB56" s="37"/>
      <c r="FC56" s="37"/>
      <c r="FD56" s="37"/>
      <c r="FE56" s="37"/>
      <c r="FF56" s="37"/>
      <c r="FG56" s="37"/>
      <c r="FH56" s="37"/>
      <c r="FI56" s="37"/>
      <c r="FJ56" s="37"/>
      <c r="FK56" s="37"/>
      <c r="FL56" s="37"/>
      <c r="FM56" s="37"/>
      <c r="FN56" s="37"/>
      <c r="FO56" s="37"/>
      <c r="FP56" s="37"/>
      <c r="FQ56" s="37"/>
      <c r="FR56" s="37"/>
      <c r="FS56" s="37"/>
      <c r="FT56" s="37"/>
      <c r="FU56" s="37"/>
      <c r="FV56" s="37"/>
    </row>
    <row r="57" spans="1:178" s="34" customFormat="1" x14ac:dyDescent="0.25">
      <c r="A57" s="471" t="s">
        <v>245</v>
      </c>
      <c r="B57" s="472"/>
      <c r="C57" s="425" t="s">
        <v>246</v>
      </c>
      <c r="D57" s="426">
        <f t="shared" ref="D57:J57" si="13">SUM(D58:D60)</f>
        <v>0</v>
      </c>
      <c r="E57" s="426">
        <f t="shared" si="13"/>
        <v>0</v>
      </c>
      <c r="F57" s="426">
        <f t="shared" si="13"/>
        <v>0</v>
      </c>
      <c r="G57" s="426">
        <f t="shared" si="13"/>
        <v>0</v>
      </c>
      <c r="H57" s="426">
        <f t="shared" si="13"/>
        <v>0</v>
      </c>
      <c r="I57" s="426">
        <f t="shared" si="13"/>
        <v>0</v>
      </c>
      <c r="J57" s="426">
        <f t="shared" si="13"/>
        <v>0</v>
      </c>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7"/>
      <c r="BR57" s="37"/>
      <c r="BS57" s="37"/>
      <c r="BT57" s="37"/>
      <c r="BU57" s="37"/>
      <c r="BV57" s="37"/>
      <c r="BW57" s="37"/>
      <c r="BX57" s="37"/>
      <c r="BY57" s="37"/>
      <c r="BZ57" s="37"/>
      <c r="CA57" s="37"/>
      <c r="CB57" s="37"/>
      <c r="CC57" s="37"/>
      <c r="CD57" s="37"/>
      <c r="CE57" s="37"/>
      <c r="CF57" s="37"/>
      <c r="CG57" s="37"/>
      <c r="CH57" s="37"/>
      <c r="CI57" s="37"/>
      <c r="CJ57" s="37"/>
      <c r="CK57" s="37"/>
      <c r="CL57" s="37"/>
      <c r="CM57" s="37"/>
      <c r="CN57" s="37"/>
      <c r="CO57" s="37"/>
      <c r="CP57" s="37"/>
      <c r="CQ57" s="37"/>
      <c r="CR57" s="37"/>
      <c r="CS57" s="37"/>
      <c r="CT57" s="37"/>
      <c r="CU57" s="37"/>
      <c r="CV57" s="37"/>
      <c r="CW57" s="37"/>
      <c r="CX57" s="37"/>
      <c r="CY57" s="37"/>
      <c r="CZ57" s="37"/>
      <c r="DA57" s="37"/>
      <c r="DB57" s="37"/>
      <c r="DC57" s="37"/>
      <c r="DD57" s="37"/>
      <c r="DE57" s="37"/>
      <c r="DF57" s="37"/>
      <c r="DG57" s="37"/>
      <c r="DH57" s="37"/>
      <c r="DI57" s="37"/>
      <c r="DJ57" s="37"/>
      <c r="DK57" s="37"/>
      <c r="DL57" s="37"/>
      <c r="DM57" s="37"/>
      <c r="DN57" s="37"/>
      <c r="DO57" s="37"/>
      <c r="DP57" s="37"/>
      <c r="DQ57" s="37"/>
      <c r="DR57" s="37"/>
      <c r="DS57" s="37"/>
      <c r="DT57" s="37"/>
      <c r="DU57" s="37"/>
      <c r="DV57" s="37"/>
      <c r="DW57" s="37"/>
      <c r="DX57" s="37"/>
      <c r="DY57" s="37"/>
      <c r="DZ57" s="37"/>
      <c r="EA57" s="37"/>
      <c r="EB57" s="37"/>
      <c r="EC57" s="37"/>
      <c r="ED57" s="37"/>
      <c r="EE57" s="37"/>
      <c r="EF57" s="37"/>
      <c r="EG57" s="37"/>
      <c r="EH57" s="37"/>
      <c r="EI57" s="37"/>
      <c r="EJ57" s="37"/>
      <c r="EK57" s="37"/>
      <c r="EL57" s="37"/>
      <c r="EM57" s="37"/>
      <c r="EN57" s="37"/>
      <c r="EO57" s="37"/>
      <c r="EP57" s="37"/>
      <c r="EQ57" s="37"/>
      <c r="ER57" s="37"/>
      <c r="ES57" s="37"/>
      <c r="ET57" s="37"/>
      <c r="EU57" s="37"/>
      <c r="EV57" s="37"/>
      <c r="EW57" s="37"/>
      <c r="EX57" s="37"/>
      <c r="EY57" s="37"/>
      <c r="EZ57" s="37"/>
      <c r="FA57" s="37"/>
      <c r="FB57" s="37"/>
      <c r="FC57" s="37"/>
      <c r="FD57" s="37"/>
      <c r="FE57" s="37"/>
      <c r="FF57" s="37"/>
      <c r="FG57" s="37"/>
      <c r="FH57" s="37"/>
      <c r="FI57" s="37"/>
      <c r="FJ57" s="37"/>
      <c r="FK57" s="37"/>
      <c r="FL57" s="37"/>
      <c r="FM57" s="37"/>
      <c r="FN57" s="37"/>
      <c r="FO57" s="37"/>
      <c r="FP57" s="37"/>
      <c r="FQ57" s="37"/>
      <c r="FR57" s="37"/>
      <c r="FS57" s="37"/>
      <c r="FT57" s="37"/>
      <c r="FU57" s="37"/>
      <c r="FV57" s="37"/>
    </row>
    <row r="58" spans="1:178" s="6" customFormat="1" ht="15" x14ac:dyDescent="0.2">
      <c r="A58" s="473" t="s">
        <v>245</v>
      </c>
      <c r="B58" s="472"/>
      <c r="C58" s="153" t="s">
        <v>321</v>
      </c>
      <c r="D58" s="33"/>
      <c r="E58" s="33"/>
      <c r="F58" s="33"/>
      <c r="G58" s="33"/>
      <c r="H58" s="58">
        <f>(((E58*(1+Parâmetros!B11)*(1+Parâmetros!C11)*(1+Parâmetros!D11))+(F58*(1+Parâmetros!C11)*(1+Parâmetros!D11)+(G58*(1+Parâmetros!D11))))/3)*(1+Parâmetros!E11)*(1+Parâmetros!E20)</f>
        <v>0</v>
      </c>
      <c r="I58" s="71">
        <f>H58*(1+Parâmetros!F11)*(1+Parâmetros!F20)</f>
        <v>0</v>
      </c>
      <c r="J58" s="71">
        <f>I58*(1+Parâmetros!G11)*(1+Parâmetros!G20)</f>
        <v>0</v>
      </c>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c r="BP58" s="37"/>
      <c r="BQ58" s="37"/>
      <c r="BR58" s="37"/>
      <c r="BS58" s="37"/>
      <c r="BT58" s="37"/>
      <c r="BU58" s="37"/>
      <c r="BV58" s="37"/>
      <c r="BW58" s="37"/>
      <c r="BX58" s="37"/>
      <c r="BY58" s="37"/>
      <c r="BZ58" s="37"/>
      <c r="CA58" s="37"/>
      <c r="CB58" s="37"/>
      <c r="CC58" s="37"/>
      <c r="CD58" s="37"/>
      <c r="CE58" s="37"/>
      <c r="CF58" s="37"/>
      <c r="CG58" s="37"/>
      <c r="CH58" s="37"/>
      <c r="CI58" s="37"/>
      <c r="CJ58" s="37"/>
      <c r="CK58" s="37"/>
      <c r="CL58" s="37"/>
      <c r="CM58" s="37"/>
      <c r="CN58" s="37"/>
      <c r="CO58" s="37"/>
      <c r="CP58" s="37"/>
      <c r="CQ58" s="37"/>
      <c r="CR58" s="37"/>
      <c r="CS58" s="37"/>
      <c r="CT58" s="37"/>
      <c r="CU58" s="37"/>
      <c r="CV58" s="37"/>
      <c r="CW58" s="37"/>
      <c r="CX58" s="37"/>
      <c r="CY58" s="37"/>
      <c r="CZ58" s="37"/>
      <c r="DA58" s="37"/>
      <c r="DB58" s="37"/>
      <c r="DC58" s="37"/>
      <c r="DD58" s="37"/>
      <c r="DE58" s="37"/>
      <c r="DF58" s="37"/>
      <c r="DG58" s="37"/>
      <c r="DH58" s="37"/>
      <c r="DI58" s="37"/>
      <c r="DJ58" s="37"/>
      <c r="DK58" s="37"/>
      <c r="DL58" s="37"/>
      <c r="DM58" s="37"/>
      <c r="DN58" s="37"/>
      <c r="DO58" s="37"/>
      <c r="DP58" s="37"/>
      <c r="DQ58" s="37"/>
      <c r="DR58" s="37"/>
      <c r="DS58" s="37"/>
      <c r="DT58" s="37"/>
      <c r="DU58" s="37"/>
      <c r="DV58" s="37"/>
      <c r="DW58" s="37"/>
      <c r="DX58" s="37"/>
      <c r="DY58" s="37"/>
      <c r="DZ58" s="37"/>
      <c r="EA58" s="37"/>
      <c r="EB58" s="37"/>
      <c r="EC58" s="37"/>
      <c r="ED58" s="37"/>
      <c r="EE58" s="37"/>
      <c r="EF58" s="37"/>
      <c r="EG58" s="37"/>
      <c r="EH58" s="37"/>
      <c r="EI58" s="37"/>
      <c r="EJ58" s="37"/>
      <c r="EK58" s="37"/>
      <c r="EL58" s="37"/>
      <c r="EM58" s="37"/>
      <c r="EN58" s="37"/>
      <c r="EO58" s="37"/>
      <c r="EP58" s="37"/>
      <c r="EQ58" s="37"/>
      <c r="ER58" s="37"/>
      <c r="ES58" s="37"/>
      <c r="ET58" s="37"/>
      <c r="EU58" s="37"/>
      <c r="EV58" s="37"/>
      <c r="EW58" s="37"/>
      <c r="EX58" s="37"/>
      <c r="EY58" s="37"/>
      <c r="EZ58" s="37"/>
      <c r="FA58" s="37"/>
      <c r="FB58" s="37"/>
      <c r="FC58" s="37"/>
      <c r="FD58" s="37"/>
      <c r="FE58" s="37"/>
      <c r="FF58" s="37"/>
      <c r="FG58" s="37"/>
      <c r="FH58" s="37"/>
      <c r="FI58" s="37"/>
      <c r="FJ58" s="37"/>
      <c r="FK58" s="37"/>
      <c r="FL58" s="37"/>
      <c r="FM58" s="37"/>
      <c r="FN58" s="37"/>
      <c r="FO58" s="37"/>
      <c r="FP58" s="37"/>
      <c r="FQ58" s="37"/>
      <c r="FR58" s="37"/>
      <c r="FS58" s="37"/>
      <c r="FT58" s="37"/>
      <c r="FU58" s="37"/>
      <c r="FV58" s="37"/>
    </row>
    <row r="59" spans="1:178" s="6" customFormat="1" x14ac:dyDescent="0.25">
      <c r="A59" s="473" t="s">
        <v>251</v>
      </c>
      <c r="B59" s="472"/>
      <c r="C59" s="153" t="s">
        <v>250</v>
      </c>
      <c r="D59" s="33"/>
      <c r="E59" s="33"/>
      <c r="F59" s="33"/>
      <c r="G59" s="33"/>
      <c r="H59" s="58">
        <f>((E59+F59+G59)/3)*(1+Parâmetros!E11)</f>
        <v>0</v>
      </c>
      <c r="I59" s="58">
        <f>((F59+G59+H59)/3)*(1+Parâmetros!F11)</f>
        <v>0</v>
      </c>
      <c r="J59" s="58">
        <f>((G59+H59+I59)/3)*(1+Parâmetros!G11)</f>
        <v>0</v>
      </c>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7"/>
      <c r="BK59" s="37"/>
      <c r="BL59" s="37"/>
      <c r="BM59" s="37"/>
      <c r="BN59" s="37"/>
      <c r="BO59" s="37"/>
      <c r="BP59" s="37"/>
      <c r="BQ59" s="37"/>
      <c r="BR59" s="37"/>
      <c r="BS59" s="37"/>
      <c r="BT59" s="37"/>
      <c r="BU59" s="37"/>
      <c r="BV59" s="37"/>
      <c r="BW59" s="37"/>
      <c r="BX59" s="37"/>
      <c r="BY59" s="37"/>
      <c r="BZ59" s="37"/>
      <c r="CA59" s="37"/>
      <c r="CB59" s="37"/>
      <c r="CC59" s="37"/>
      <c r="CD59" s="37"/>
      <c r="CE59" s="37"/>
      <c r="CF59" s="37"/>
      <c r="CG59" s="37"/>
      <c r="CH59" s="37"/>
      <c r="CI59" s="37"/>
      <c r="CJ59" s="37"/>
      <c r="CK59" s="37"/>
      <c r="CL59" s="37"/>
      <c r="CM59" s="37"/>
      <c r="CN59" s="37"/>
      <c r="CO59" s="37"/>
      <c r="CP59" s="37"/>
      <c r="CQ59" s="37"/>
      <c r="CR59" s="37"/>
      <c r="CS59" s="37"/>
      <c r="CT59" s="37"/>
      <c r="CU59" s="37"/>
      <c r="CV59" s="37"/>
      <c r="CW59" s="37"/>
      <c r="CX59" s="37"/>
      <c r="CY59" s="37"/>
      <c r="CZ59" s="37"/>
      <c r="DA59" s="37"/>
      <c r="DB59" s="37"/>
      <c r="DC59" s="37"/>
      <c r="DD59" s="37"/>
      <c r="DE59" s="37"/>
      <c r="DF59" s="37"/>
      <c r="DG59" s="37"/>
      <c r="DH59" s="37"/>
      <c r="DI59" s="37"/>
      <c r="DJ59" s="37"/>
      <c r="DK59" s="37"/>
      <c r="DL59" s="37"/>
      <c r="DM59" s="37"/>
      <c r="DN59" s="37"/>
      <c r="DO59" s="37"/>
      <c r="DP59" s="37"/>
      <c r="DQ59" s="37"/>
      <c r="DR59" s="37"/>
      <c r="DS59" s="37"/>
      <c r="DT59" s="37"/>
      <c r="DU59" s="37"/>
      <c r="DV59" s="37"/>
      <c r="DW59" s="37"/>
      <c r="DX59" s="37"/>
      <c r="DY59" s="37"/>
      <c r="DZ59" s="37"/>
      <c r="EA59" s="37"/>
      <c r="EB59" s="37"/>
      <c r="EC59" s="37"/>
      <c r="ED59" s="37"/>
      <c r="EE59" s="37"/>
      <c r="EF59" s="37"/>
      <c r="EG59" s="37"/>
      <c r="EH59" s="37"/>
      <c r="EI59" s="37"/>
      <c r="EJ59" s="37"/>
      <c r="EK59" s="37"/>
      <c r="EL59" s="37"/>
      <c r="EM59" s="37"/>
      <c r="EN59" s="37"/>
      <c r="EO59" s="37"/>
      <c r="EP59" s="37"/>
      <c r="EQ59" s="37"/>
      <c r="ER59" s="37"/>
      <c r="ES59" s="37"/>
      <c r="ET59" s="37"/>
      <c r="EU59" s="37"/>
      <c r="EV59" s="37"/>
      <c r="EW59" s="37"/>
      <c r="EX59" s="37"/>
      <c r="EY59" s="37"/>
      <c r="EZ59" s="37"/>
      <c r="FA59" s="37"/>
      <c r="FB59" s="37"/>
      <c r="FC59" s="37"/>
      <c r="FD59" s="37"/>
      <c r="FE59" s="37"/>
      <c r="FF59" s="37"/>
      <c r="FG59" s="37"/>
      <c r="FH59" s="37"/>
      <c r="FI59" s="37"/>
      <c r="FJ59" s="37"/>
      <c r="FK59" s="37"/>
      <c r="FL59" s="37"/>
      <c r="FM59" s="37"/>
      <c r="FN59" s="37"/>
      <c r="FO59" s="37"/>
      <c r="FP59" s="37"/>
      <c r="FQ59" s="37"/>
      <c r="FR59" s="37"/>
      <c r="FS59" s="37"/>
      <c r="FT59" s="37"/>
      <c r="FU59" s="37"/>
      <c r="FV59" s="37"/>
    </row>
    <row r="60" spans="1:178" s="6" customFormat="1" x14ac:dyDescent="0.25">
      <c r="A60" s="473" t="s">
        <v>251</v>
      </c>
      <c r="B60" s="472"/>
      <c r="C60" s="153" t="s">
        <v>252</v>
      </c>
      <c r="D60" s="33"/>
      <c r="E60" s="33"/>
      <c r="F60" s="33"/>
      <c r="G60" s="33"/>
      <c r="H60" s="58">
        <f>((E60+F60+G60)/3)*(1+Parâmetros!E11)</f>
        <v>0</v>
      </c>
      <c r="I60" s="58">
        <f>((F60+G60+H60)/3)*(1+Parâmetros!F11)</f>
        <v>0</v>
      </c>
      <c r="J60" s="58">
        <f>((G60+H60+I60)/3)*(1+Parâmetros!G11)</f>
        <v>0</v>
      </c>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37"/>
      <c r="BZ60" s="37"/>
      <c r="CA60" s="37"/>
      <c r="CB60" s="37"/>
      <c r="CC60" s="37"/>
      <c r="CD60" s="37"/>
      <c r="CE60" s="37"/>
      <c r="CF60" s="37"/>
      <c r="CG60" s="37"/>
      <c r="CH60" s="37"/>
      <c r="CI60" s="37"/>
      <c r="CJ60" s="37"/>
      <c r="CK60" s="37"/>
      <c r="CL60" s="37"/>
      <c r="CM60" s="37"/>
      <c r="CN60" s="37"/>
      <c r="CO60" s="37"/>
      <c r="CP60" s="37"/>
      <c r="CQ60" s="37"/>
      <c r="CR60" s="37"/>
      <c r="CS60" s="37"/>
      <c r="CT60" s="37"/>
      <c r="CU60" s="37"/>
      <c r="CV60" s="37"/>
      <c r="CW60" s="37"/>
      <c r="CX60" s="37"/>
      <c r="CY60" s="37"/>
      <c r="CZ60" s="37"/>
      <c r="DA60" s="37"/>
      <c r="DB60" s="37"/>
      <c r="DC60" s="37"/>
      <c r="DD60" s="37"/>
      <c r="DE60" s="37"/>
      <c r="DF60" s="37"/>
      <c r="DG60" s="37"/>
      <c r="DH60" s="37"/>
      <c r="DI60" s="37"/>
      <c r="DJ60" s="37"/>
      <c r="DK60" s="37"/>
      <c r="DL60" s="37"/>
      <c r="DM60" s="37"/>
      <c r="DN60" s="37"/>
      <c r="DO60" s="37"/>
      <c r="DP60" s="37"/>
      <c r="DQ60" s="37"/>
      <c r="DR60" s="37"/>
      <c r="DS60" s="37"/>
      <c r="DT60" s="37"/>
      <c r="DU60" s="37"/>
      <c r="DV60" s="37"/>
      <c r="DW60" s="37"/>
      <c r="DX60" s="37"/>
      <c r="DY60" s="37"/>
      <c r="DZ60" s="37"/>
      <c r="EA60" s="37"/>
      <c r="EB60" s="37"/>
      <c r="EC60" s="37"/>
      <c r="ED60" s="37"/>
      <c r="EE60" s="37"/>
      <c r="EF60" s="37"/>
      <c r="EG60" s="37"/>
      <c r="EH60" s="37"/>
      <c r="EI60" s="37"/>
      <c r="EJ60" s="37"/>
      <c r="EK60" s="37"/>
      <c r="EL60" s="37"/>
      <c r="EM60" s="37"/>
      <c r="EN60" s="37"/>
      <c r="EO60" s="37"/>
      <c r="EP60" s="37"/>
      <c r="EQ60" s="37"/>
      <c r="ER60" s="37"/>
      <c r="ES60" s="37"/>
      <c r="ET60" s="37"/>
      <c r="EU60" s="37"/>
      <c r="EV60" s="37"/>
      <c r="EW60" s="37"/>
      <c r="EX60" s="37"/>
      <c r="EY60" s="37"/>
      <c r="EZ60" s="37"/>
      <c r="FA60" s="37"/>
      <c r="FB60" s="37"/>
      <c r="FC60" s="37"/>
      <c r="FD60" s="37"/>
      <c r="FE60" s="37"/>
      <c r="FF60" s="37"/>
      <c r="FG60" s="37"/>
      <c r="FH60" s="37"/>
      <c r="FI60" s="37"/>
      <c r="FJ60" s="37"/>
      <c r="FK60" s="37"/>
      <c r="FL60" s="37"/>
      <c r="FM60" s="37"/>
      <c r="FN60" s="37"/>
      <c r="FO60" s="37"/>
      <c r="FP60" s="37"/>
      <c r="FQ60" s="37"/>
      <c r="FR60" s="37"/>
      <c r="FS60" s="37"/>
      <c r="FT60" s="37"/>
      <c r="FU60" s="37"/>
      <c r="FV60" s="37"/>
    </row>
    <row r="61" spans="1:178" s="34" customFormat="1" x14ac:dyDescent="0.25">
      <c r="A61" s="471" t="s">
        <v>253</v>
      </c>
      <c r="B61" s="472"/>
      <c r="C61" s="425" t="s">
        <v>254</v>
      </c>
      <c r="D61" s="426">
        <f t="shared" ref="D61:J61" si="14">SUM(D62:D64)</f>
        <v>0</v>
      </c>
      <c r="E61" s="426">
        <f t="shared" si="14"/>
        <v>0</v>
      </c>
      <c r="F61" s="426">
        <f t="shared" si="14"/>
        <v>0</v>
      </c>
      <c r="G61" s="426">
        <f t="shared" si="14"/>
        <v>0</v>
      </c>
      <c r="H61" s="426">
        <f t="shared" si="14"/>
        <v>0</v>
      </c>
      <c r="I61" s="426">
        <f t="shared" si="14"/>
        <v>0</v>
      </c>
      <c r="J61" s="426">
        <f t="shared" si="14"/>
        <v>0</v>
      </c>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7"/>
      <c r="BS61" s="37"/>
      <c r="BT61" s="37"/>
      <c r="BU61" s="37"/>
      <c r="BV61" s="37"/>
      <c r="BW61" s="37"/>
      <c r="BX61" s="37"/>
      <c r="BY61" s="37"/>
      <c r="BZ61" s="37"/>
      <c r="CA61" s="37"/>
      <c r="CB61" s="37"/>
      <c r="CC61" s="37"/>
      <c r="CD61" s="37"/>
      <c r="CE61" s="37"/>
      <c r="CF61" s="37"/>
      <c r="CG61" s="37"/>
      <c r="CH61" s="37"/>
      <c r="CI61" s="37"/>
      <c r="CJ61" s="37"/>
      <c r="CK61" s="37"/>
      <c r="CL61" s="37"/>
      <c r="CM61" s="37"/>
      <c r="CN61" s="37"/>
      <c r="CO61" s="37"/>
      <c r="CP61" s="37"/>
      <c r="CQ61" s="37"/>
      <c r="CR61" s="37"/>
      <c r="CS61" s="37"/>
      <c r="CT61" s="37"/>
      <c r="CU61" s="37"/>
      <c r="CV61" s="37"/>
      <c r="CW61" s="37"/>
      <c r="CX61" s="37"/>
      <c r="CY61" s="37"/>
      <c r="CZ61" s="37"/>
      <c r="DA61" s="37"/>
      <c r="DB61" s="37"/>
      <c r="DC61" s="37"/>
      <c r="DD61" s="37"/>
      <c r="DE61" s="37"/>
      <c r="DF61" s="37"/>
      <c r="DG61" s="37"/>
      <c r="DH61" s="37"/>
      <c r="DI61" s="37"/>
      <c r="DJ61" s="37"/>
      <c r="DK61" s="37"/>
      <c r="DL61" s="37"/>
      <c r="DM61" s="37"/>
      <c r="DN61" s="37"/>
      <c r="DO61" s="37"/>
      <c r="DP61" s="37"/>
      <c r="DQ61" s="37"/>
      <c r="DR61" s="37"/>
      <c r="DS61" s="37"/>
      <c r="DT61" s="37"/>
      <c r="DU61" s="37"/>
      <c r="DV61" s="37"/>
      <c r="DW61" s="37"/>
      <c r="DX61" s="37"/>
      <c r="DY61" s="37"/>
      <c r="DZ61" s="37"/>
      <c r="EA61" s="37"/>
      <c r="EB61" s="37"/>
      <c r="EC61" s="37"/>
      <c r="ED61" s="37"/>
      <c r="EE61" s="37"/>
      <c r="EF61" s="37"/>
      <c r="EG61" s="37"/>
      <c r="EH61" s="37"/>
      <c r="EI61" s="37"/>
      <c r="EJ61" s="37"/>
      <c r="EK61" s="37"/>
      <c r="EL61" s="37"/>
      <c r="EM61" s="37"/>
      <c r="EN61" s="37"/>
      <c r="EO61" s="37"/>
      <c r="EP61" s="37"/>
      <c r="EQ61" s="37"/>
      <c r="ER61" s="37"/>
      <c r="ES61" s="37"/>
      <c r="ET61" s="37"/>
      <c r="EU61" s="37"/>
      <c r="EV61" s="37"/>
      <c r="EW61" s="37"/>
      <c r="EX61" s="37"/>
      <c r="EY61" s="37"/>
      <c r="EZ61" s="37"/>
      <c r="FA61" s="37"/>
      <c r="FB61" s="37"/>
      <c r="FC61" s="37"/>
      <c r="FD61" s="37"/>
      <c r="FE61" s="37"/>
      <c r="FF61" s="37"/>
      <c r="FG61" s="37"/>
      <c r="FH61" s="37"/>
      <c r="FI61" s="37"/>
      <c r="FJ61" s="37"/>
      <c r="FK61" s="37"/>
      <c r="FL61" s="37"/>
      <c r="FM61" s="37"/>
      <c r="FN61" s="37"/>
      <c r="FO61" s="37"/>
      <c r="FP61" s="37"/>
      <c r="FQ61" s="37"/>
      <c r="FR61" s="37"/>
      <c r="FS61" s="37"/>
      <c r="FT61" s="37"/>
      <c r="FU61" s="37"/>
      <c r="FV61" s="37"/>
    </row>
    <row r="62" spans="1:178" customFormat="1" ht="15" x14ac:dyDescent="0.2">
      <c r="A62" s="473" t="s">
        <v>257</v>
      </c>
      <c r="B62" s="472"/>
      <c r="C62" s="153" t="s">
        <v>322</v>
      </c>
      <c r="D62" s="33"/>
      <c r="E62" s="33"/>
      <c r="F62" s="33"/>
      <c r="G62" s="33"/>
      <c r="H62" s="58">
        <f>(((E62*(1+Parâmetros!B11)*(1+Parâmetros!C11)*(1+Parâmetros!D11))+(F62*(1+Parâmetros!C11)*(1+Parâmetros!D11)+(G62*(1+Parâmetros!D11))))/3)*(1+Parâmetros!E11)</f>
        <v>0</v>
      </c>
      <c r="I62" s="71">
        <f>H62*(1+Parâmetros!F11)</f>
        <v>0</v>
      </c>
      <c r="J62" s="71">
        <f>I62*(1+Parâmetros!G11)</f>
        <v>0</v>
      </c>
    </row>
    <row r="63" spans="1:178" customFormat="1" x14ac:dyDescent="0.25">
      <c r="A63" s="473" t="s">
        <v>257</v>
      </c>
      <c r="B63" s="472"/>
      <c r="C63" s="153" t="s">
        <v>260</v>
      </c>
      <c r="D63" s="33"/>
      <c r="E63" s="33"/>
      <c r="F63" s="33"/>
      <c r="G63" s="33"/>
      <c r="H63" s="58">
        <f>((E63+F63+G63)/3)*(1+Parâmetros!E11)</f>
        <v>0</v>
      </c>
      <c r="I63" s="58">
        <f>((F63+G63+H63)/3)*(1+Parâmetros!F11)</f>
        <v>0</v>
      </c>
      <c r="J63" s="58">
        <f>((G63+H63+I63)/3)*(1+Parâmetros!G11)</f>
        <v>0</v>
      </c>
    </row>
    <row r="64" spans="1:178" customFormat="1" x14ac:dyDescent="0.25">
      <c r="A64" s="473" t="s">
        <v>261</v>
      </c>
      <c r="B64" s="472"/>
      <c r="C64" s="153" t="s">
        <v>262</v>
      </c>
      <c r="D64" s="33"/>
      <c r="E64" s="33"/>
      <c r="F64" s="33"/>
      <c r="G64" s="33"/>
      <c r="H64" s="58">
        <f>((E64+F64+G64)/3)*(1+Parâmetros!E11)</f>
        <v>0</v>
      </c>
      <c r="I64" s="58">
        <f>((F64+G64+H64)/3)*(1+Parâmetros!F11)</f>
        <v>0</v>
      </c>
      <c r="J64" s="58">
        <f>((G64+H64+I64)/3)*(1+Parâmetros!G11)</f>
        <v>0</v>
      </c>
    </row>
    <row r="65" spans="1:178" s="34" customFormat="1" x14ac:dyDescent="0.25">
      <c r="A65" s="471" t="s">
        <v>263</v>
      </c>
      <c r="B65" s="472"/>
      <c r="C65" s="425" t="s">
        <v>264</v>
      </c>
      <c r="D65" s="426">
        <f t="shared" ref="D65:J65" si="15">SUM(D66:D68)</f>
        <v>0</v>
      </c>
      <c r="E65" s="426">
        <f t="shared" si="15"/>
        <v>0</v>
      </c>
      <c r="F65" s="426">
        <f t="shared" si="15"/>
        <v>0</v>
      </c>
      <c r="G65" s="426">
        <f t="shared" si="15"/>
        <v>0</v>
      </c>
      <c r="H65" s="426">
        <f t="shared" si="15"/>
        <v>0</v>
      </c>
      <c r="I65" s="426">
        <f t="shared" si="15"/>
        <v>0</v>
      </c>
      <c r="J65" s="426">
        <f t="shared" si="15"/>
        <v>0</v>
      </c>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37"/>
      <c r="BZ65" s="37"/>
      <c r="CA65" s="37"/>
      <c r="CB65" s="37"/>
      <c r="CC65" s="37"/>
      <c r="CD65" s="37"/>
      <c r="CE65" s="37"/>
      <c r="CF65" s="37"/>
      <c r="CG65" s="37"/>
      <c r="CH65" s="37"/>
      <c r="CI65" s="37"/>
      <c r="CJ65" s="37"/>
      <c r="CK65" s="37"/>
      <c r="CL65" s="37"/>
      <c r="CM65" s="37"/>
      <c r="CN65" s="37"/>
      <c r="CO65" s="37"/>
      <c r="CP65" s="37"/>
      <c r="CQ65" s="37"/>
      <c r="CR65" s="37"/>
      <c r="CS65" s="37"/>
      <c r="CT65" s="37"/>
      <c r="CU65" s="37"/>
      <c r="CV65" s="37"/>
      <c r="CW65" s="37"/>
      <c r="CX65" s="37"/>
      <c r="CY65" s="37"/>
      <c r="CZ65" s="37"/>
      <c r="DA65" s="37"/>
      <c r="DB65" s="37"/>
      <c r="DC65" s="37"/>
      <c r="DD65" s="37"/>
      <c r="DE65" s="37"/>
      <c r="DF65" s="37"/>
      <c r="DG65" s="37"/>
      <c r="DH65" s="37"/>
      <c r="DI65" s="37"/>
      <c r="DJ65" s="37"/>
      <c r="DK65" s="37"/>
      <c r="DL65" s="37"/>
      <c r="DM65" s="37"/>
      <c r="DN65" s="37"/>
      <c r="DO65" s="37"/>
      <c r="DP65" s="37"/>
      <c r="DQ65" s="37"/>
      <c r="DR65" s="37"/>
      <c r="DS65" s="37"/>
      <c r="DT65" s="37"/>
      <c r="DU65" s="37"/>
      <c r="DV65" s="37"/>
      <c r="DW65" s="37"/>
      <c r="DX65" s="37"/>
      <c r="DY65" s="37"/>
      <c r="DZ65" s="37"/>
      <c r="EA65" s="37"/>
      <c r="EB65" s="37"/>
      <c r="EC65" s="37"/>
      <c r="ED65" s="37"/>
      <c r="EE65" s="37"/>
      <c r="EF65" s="37"/>
      <c r="EG65" s="37"/>
      <c r="EH65" s="37"/>
      <c r="EI65" s="37"/>
      <c r="EJ65" s="37"/>
      <c r="EK65" s="37"/>
      <c r="EL65" s="37"/>
      <c r="EM65" s="37"/>
      <c r="EN65" s="37"/>
      <c r="EO65" s="37"/>
      <c r="EP65" s="37"/>
      <c r="EQ65" s="37"/>
      <c r="ER65" s="37"/>
      <c r="ES65" s="37"/>
      <c r="ET65" s="37"/>
      <c r="EU65" s="37"/>
      <c r="EV65" s="37"/>
      <c r="EW65" s="37"/>
      <c r="EX65" s="37"/>
      <c r="EY65" s="37"/>
      <c r="EZ65" s="37"/>
      <c r="FA65" s="37"/>
      <c r="FB65" s="37"/>
      <c r="FC65" s="37"/>
      <c r="FD65" s="37"/>
      <c r="FE65" s="37"/>
      <c r="FF65" s="37"/>
      <c r="FG65" s="37"/>
      <c r="FH65" s="37"/>
      <c r="FI65" s="37"/>
      <c r="FJ65" s="37"/>
      <c r="FK65" s="37"/>
      <c r="FL65" s="37"/>
      <c r="FM65" s="37"/>
      <c r="FN65" s="37"/>
      <c r="FO65" s="37"/>
      <c r="FP65" s="37"/>
      <c r="FQ65" s="37"/>
      <c r="FR65" s="37"/>
      <c r="FS65" s="37"/>
      <c r="FT65" s="37"/>
      <c r="FU65" s="37"/>
      <c r="FV65" s="37"/>
    </row>
    <row r="66" spans="1:178" s="6" customFormat="1" ht="15" x14ac:dyDescent="0.2">
      <c r="A66" s="473" t="s">
        <v>263</v>
      </c>
      <c r="B66" s="472"/>
      <c r="C66" s="153" t="s">
        <v>323</v>
      </c>
      <c r="D66" s="33"/>
      <c r="E66" s="33"/>
      <c r="F66" s="33"/>
      <c r="G66" s="33"/>
      <c r="H66" s="58">
        <f>(((E66*(1+Parâmetros!B11)*(1+Parâmetros!C11)*(1+Parâmetros!D11))+(F66*(1+Parâmetros!C11)*(1+Parâmetros!D11)+(G66*(1+Parâmetros!D11))))/3)*(1+Parâmetros!E11)</f>
        <v>0</v>
      </c>
      <c r="I66" s="71">
        <f>H66*(1+Parâmetros!F11)</f>
        <v>0</v>
      </c>
      <c r="J66" s="71">
        <f>I66*(1+Parâmetros!G11)</f>
        <v>0</v>
      </c>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c r="BS66" s="37"/>
      <c r="BT66" s="37"/>
      <c r="BU66" s="37"/>
      <c r="BV66" s="37"/>
      <c r="BW66" s="37"/>
      <c r="BX66" s="37"/>
      <c r="BY66" s="37"/>
      <c r="BZ66" s="37"/>
      <c r="CA66" s="37"/>
      <c r="CB66" s="37"/>
      <c r="CC66" s="37"/>
      <c r="CD66" s="37"/>
      <c r="CE66" s="37"/>
      <c r="CF66" s="37"/>
      <c r="CG66" s="37"/>
      <c r="CH66" s="37"/>
      <c r="CI66" s="37"/>
      <c r="CJ66" s="37"/>
      <c r="CK66" s="37"/>
      <c r="CL66" s="37"/>
      <c r="CM66" s="37"/>
      <c r="CN66" s="37"/>
      <c r="CO66" s="37"/>
      <c r="CP66" s="37"/>
      <c r="CQ66" s="37"/>
      <c r="CR66" s="37"/>
      <c r="CS66" s="37"/>
      <c r="CT66" s="37"/>
      <c r="CU66" s="37"/>
      <c r="CV66" s="37"/>
      <c r="CW66" s="37"/>
      <c r="CX66" s="37"/>
      <c r="CY66" s="37"/>
      <c r="CZ66" s="37"/>
      <c r="DA66" s="37"/>
      <c r="DB66" s="37"/>
      <c r="DC66" s="37"/>
      <c r="DD66" s="37"/>
      <c r="DE66" s="37"/>
      <c r="DF66" s="37"/>
      <c r="DG66" s="37"/>
      <c r="DH66" s="37"/>
      <c r="DI66" s="37"/>
      <c r="DJ66" s="37"/>
      <c r="DK66" s="37"/>
      <c r="DL66" s="37"/>
      <c r="DM66" s="37"/>
      <c r="DN66" s="37"/>
      <c r="DO66" s="37"/>
      <c r="DP66" s="37"/>
      <c r="DQ66" s="37"/>
      <c r="DR66" s="37"/>
      <c r="DS66" s="37"/>
      <c r="DT66" s="37"/>
      <c r="DU66" s="37"/>
      <c r="DV66" s="37"/>
      <c r="DW66" s="37"/>
      <c r="DX66" s="37"/>
      <c r="DY66" s="37"/>
      <c r="DZ66" s="37"/>
      <c r="EA66" s="37"/>
      <c r="EB66" s="37"/>
      <c r="EC66" s="37"/>
      <c r="ED66" s="37"/>
      <c r="EE66" s="37"/>
      <c r="EF66" s="37"/>
      <c r="EG66" s="37"/>
      <c r="EH66" s="37"/>
      <c r="EI66" s="37"/>
      <c r="EJ66" s="37"/>
      <c r="EK66" s="37"/>
      <c r="EL66" s="37"/>
      <c r="EM66" s="37"/>
      <c r="EN66" s="37"/>
      <c r="EO66" s="37"/>
      <c r="EP66" s="37"/>
      <c r="EQ66" s="37"/>
      <c r="ER66" s="37"/>
      <c r="ES66" s="37"/>
      <c r="ET66" s="37"/>
      <c r="EU66" s="37"/>
      <c r="EV66" s="37"/>
      <c r="EW66" s="37"/>
      <c r="EX66" s="37"/>
      <c r="EY66" s="37"/>
      <c r="EZ66" s="37"/>
      <c r="FA66" s="37"/>
      <c r="FB66" s="37"/>
      <c r="FC66" s="37"/>
      <c r="FD66" s="37"/>
      <c r="FE66" s="37"/>
      <c r="FF66" s="37"/>
      <c r="FG66" s="37"/>
      <c r="FH66" s="37"/>
      <c r="FI66" s="37"/>
      <c r="FJ66" s="37"/>
      <c r="FK66" s="37"/>
      <c r="FL66" s="37"/>
      <c r="FM66" s="37"/>
      <c r="FN66" s="37"/>
      <c r="FO66" s="37"/>
      <c r="FP66" s="37"/>
      <c r="FQ66" s="37"/>
      <c r="FR66" s="37"/>
      <c r="FS66" s="37"/>
      <c r="FT66" s="37"/>
      <c r="FU66" s="37"/>
      <c r="FV66" s="37"/>
    </row>
    <row r="67" spans="1:178" s="6" customFormat="1" x14ac:dyDescent="0.25">
      <c r="A67" s="473" t="s">
        <v>263</v>
      </c>
      <c r="B67" s="472"/>
      <c r="C67" s="153" t="s">
        <v>267</v>
      </c>
      <c r="D67" s="33"/>
      <c r="E67" s="33"/>
      <c r="F67" s="33"/>
      <c r="G67" s="33"/>
      <c r="H67" s="58">
        <f>((E67+F67+G67)/3)*(1+Parâmetros!E11)</f>
        <v>0</v>
      </c>
      <c r="I67" s="58">
        <f>((F67+G67+H67)/3)*(1+Parâmetros!F11)</f>
        <v>0</v>
      </c>
      <c r="J67" s="58">
        <f>((G67+H67+I67)/3)*(1+Parâmetros!G11)</f>
        <v>0</v>
      </c>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c r="BR67" s="37"/>
      <c r="BS67" s="37"/>
      <c r="BT67" s="37"/>
      <c r="BU67" s="37"/>
      <c r="BV67" s="37"/>
      <c r="BW67" s="37"/>
      <c r="BX67" s="37"/>
      <c r="BY67" s="37"/>
      <c r="BZ67" s="37"/>
      <c r="CA67" s="37"/>
      <c r="CB67" s="37"/>
      <c r="CC67" s="37"/>
      <c r="CD67" s="37"/>
      <c r="CE67" s="37"/>
      <c r="CF67" s="37"/>
      <c r="CG67" s="37"/>
      <c r="CH67" s="37"/>
      <c r="CI67" s="37"/>
      <c r="CJ67" s="37"/>
      <c r="CK67" s="37"/>
      <c r="CL67" s="37"/>
      <c r="CM67" s="37"/>
      <c r="CN67" s="37"/>
      <c r="CO67" s="37"/>
      <c r="CP67" s="37"/>
      <c r="CQ67" s="37"/>
      <c r="CR67" s="37"/>
      <c r="CS67" s="37"/>
      <c r="CT67" s="37"/>
      <c r="CU67" s="37"/>
      <c r="CV67" s="37"/>
      <c r="CW67" s="37"/>
      <c r="CX67" s="37"/>
      <c r="CY67" s="37"/>
      <c r="CZ67" s="37"/>
      <c r="DA67" s="37"/>
      <c r="DB67" s="37"/>
      <c r="DC67" s="37"/>
      <c r="DD67" s="37"/>
      <c r="DE67" s="37"/>
      <c r="DF67" s="37"/>
      <c r="DG67" s="37"/>
      <c r="DH67" s="37"/>
      <c r="DI67" s="37"/>
      <c r="DJ67" s="37"/>
      <c r="DK67" s="37"/>
      <c r="DL67" s="37"/>
      <c r="DM67" s="37"/>
      <c r="DN67" s="37"/>
      <c r="DO67" s="37"/>
      <c r="DP67" s="37"/>
      <c r="DQ67" s="37"/>
      <c r="DR67" s="37"/>
      <c r="DS67" s="37"/>
      <c r="DT67" s="37"/>
      <c r="DU67" s="37"/>
      <c r="DV67" s="37"/>
      <c r="DW67" s="37"/>
      <c r="DX67" s="37"/>
      <c r="DY67" s="37"/>
      <c r="DZ67" s="37"/>
      <c r="EA67" s="37"/>
      <c r="EB67" s="37"/>
      <c r="EC67" s="37"/>
      <c r="ED67" s="37"/>
      <c r="EE67" s="37"/>
      <c r="EF67" s="37"/>
      <c r="EG67" s="37"/>
      <c r="EH67" s="37"/>
      <c r="EI67" s="37"/>
      <c r="EJ67" s="37"/>
      <c r="EK67" s="37"/>
      <c r="EL67" s="37"/>
      <c r="EM67" s="37"/>
      <c r="EN67" s="37"/>
      <c r="EO67" s="37"/>
      <c r="EP67" s="37"/>
      <c r="EQ67" s="37"/>
      <c r="ER67" s="37"/>
      <c r="ES67" s="37"/>
      <c r="ET67" s="37"/>
      <c r="EU67" s="37"/>
      <c r="EV67" s="37"/>
      <c r="EW67" s="37"/>
      <c r="EX67" s="37"/>
      <c r="EY67" s="37"/>
      <c r="EZ67" s="37"/>
      <c r="FA67" s="37"/>
      <c r="FB67" s="37"/>
      <c r="FC67" s="37"/>
      <c r="FD67" s="37"/>
      <c r="FE67" s="37"/>
      <c r="FF67" s="37"/>
      <c r="FG67" s="37"/>
      <c r="FH67" s="37"/>
      <c r="FI67" s="37"/>
      <c r="FJ67" s="37"/>
      <c r="FK67" s="37"/>
      <c r="FL67" s="37"/>
      <c r="FM67" s="37"/>
      <c r="FN67" s="37"/>
      <c r="FO67" s="37"/>
      <c r="FP67" s="37"/>
      <c r="FQ67" s="37"/>
      <c r="FR67" s="37"/>
      <c r="FS67" s="37"/>
      <c r="FT67" s="37"/>
      <c r="FU67" s="37"/>
      <c r="FV67" s="37"/>
    </row>
    <row r="68" spans="1:178" s="6" customFormat="1" x14ac:dyDescent="0.25">
      <c r="A68" s="473" t="s">
        <v>268</v>
      </c>
      <c r="B68" s="472"/>
      <c r="C68" s="153" t="s">
        <v>269</v>
      </c>
      <c r="D68" s="33"/>
      <c r="E68" s="33"/>
      <c r="F68" s="33"/>
      <c r="G68" s="33"/>
      <c r="H68" s="58">
        <f>((E68+F68+G68)/3)*(1+Parâmetros!E11)</f>
        <v>0</v>
      </c>
      <c r="I68" s="58">
        <f>((F68+G68+H68)/3)*(1+Parâmetros!F11)</f>
        <v>0</v>
      </c>
      <c r="J68" s="58">
        <f>((G68+H68+I68)/3)*(1+Parâmetros!G11)</f>
        <v>0</v>
      </c>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c r="CO68" s="37"/>
      <c r="CP68" s="37"/>
      <c r="CQ68" s="37"/>
      <c r="CR68" s="37"/>
      <c r="CS68" s="37"/>
      <c r="CT68" s="37"/>
      <c r="CU68" s="37"/>
      <c r="CV68" s="37"/>
      <c r="CW68" s="37"/>
      <c r="CX68" s="37"/>
      <c r="CY68" s="37"/>
      <c r="CZ68" s="37"/>
      <c r="DA68" s="37"/>
      <c r="DB68" s="37"/>
      <c r="DC68" s="37"/>
      <c r="DD68" s="37"/>
      <c r="DE68" s="37"/>
      <c r="DF68" s="37"/>
      <c r="DG68" s="37"/>
      <c r="DH68" s="37"/>
      <c r="DI68" s="37"/>
      <c r="DJ68" s="37"/>
      <c r="DK68" s="37"/>
      <c r="DL68" s="37"/>
      <c r="DM68" s="37"/>
      <c r="DN68" s="37"/>
      <c r="DO68" s="37"/>
      <c r="DP68" s="37"/>
      <c r="DQ68" s="37"/>
      <c r="DR68" s="37"/>
      <c r="DS68" s="37"/>
      <c r="DT68" s="37"/>
      <c r="DU68" s="37"/>
      <c r="DV68" s="37"/>
      <c r="DW68" s="37"/>
      <c r="DX68" s="37"/>
      <c r="DY68" s="37"/>
      <c r="DZ68" s="37"/>
      <c r="EA68" s="37"/>
      <c r="EB68" s="37"/>
      <c r="EC68" s="37"/>
      <c r="ED68" s="37"/>
      <c r="EE68" s="37"/>
      <c r="EF68" s="37"/>
      <c r="EG68" s="37"/>
      <c r="EH68" s="37"/>
      <c r="EI68" s="37"/>
      <c r="EJ68" s="37"/>
      <c r="EK68" s="37"/>
      <c r="EL68" s="37"/>
      <c r="EM68" s="37"/>
      <c r="EN68" s="37"/>
      <c r="EO68" s="37"/>
      <c r="EP68" s="37"/>
      <c r="EQ68" s="37"/>
      <c r="ER68" s="37"/>
      <c r="ES68" s="37"/>
      <c r="ET68" s="37"/>
      <c r="EU68" s="37"/>
      <c r="EV68" s="37"/>
      <c r="EW68" s="37"/>
      <c r="EX68" s="37"/>
      <c r="EY68" s="37"/>
      <c r="EZ68" s="37"/>
      <c r="FA68" s="37"/>
      <c r="FB68" s="37"/>
      <c r="FC68" s="37"/>
      <c r="FD68" s="37"/>
      <c r="FE68" s="37"/>
      <c r="FF68" s="37"/>
      <c r="FG68" s="37"/>
      <c r="FH68" s="37"/>
      <c r="FI68" s="37"/>
      <c r="FJ68" s="37"/>
      <c r="FK68" s="37"/>
      <c r="FL68" s="37"/>
      <c r="FM68" s="37"/>
      <c r="FN68" s="37"/>
      <c r="FO68" s="37"/>
      <c r="FP68" s="37"/>
      <c r="FQ68" s="37"/>
      <c r="FR68" s="37"/>
      <c r="FS68" s="37"/>
      <c r="FT68" s="37"/>
      <c r="FU68" s="37"/>
      <c r="FV68" s="37"/>
    </row>
    <row r="69" spans="1:178" s="7" customFormat="1" ht="29.25" customHeight="1" thickBot="1" x14ac:dyDescent="0.3">
      <c r="A69" s="137"/>
      <c r="B69" s="137"/>
      <c r="C69" s="41" t="s">
        <v>270</v>
      </c>
      <c r="D69" s="42">
        <f t="shared" ref="D69:J69" si="16">D43+D56</f>
        <v>1023213.85</v>
      </c>
      <c r="E69" s="42">
        <f t="shared" si="16"/>
        <v>1090171.8</v>
      </c>
      <c r="F69" s="42">
        <f t="shared" si="16"/>
        <v>1575408.65</v>
      </c>
      <c r="G69" s="42">
        <f t="shared" si="16"/>
        <v>1875688.9</v>
      </c>
      <c r="H69" s="439">
        <f t="shared" si="16"/>
        <v>2000000.0031999999</v>
      </c>
      <c r="I69" s="42">
        <f t="shared" si="16"/>
        <v>2092790.3604426668</v>
      </c>
      <c r="J69" s="42">
        <f t="shared" si="16"/>
        <v>2208720.8926694579</v>
      </c>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c r="CF69" s="39"/>
      <c r="CG69" s="39"/>
      <c r="CH69" s="39"/>
      <c r="CI69" s="39"/>
      <c r="CJ69" s="39"/>
      <c r="CK69" s="39"/>
      <c r="CL69" s="39"/>
      <c r="CM69" s="39"/>
      <c r="CN69" s="39"/>
      <c r="CO69" s="39"/>
      <c r="CP69" s="39"/>
      <c r="CQ69" s="39"/>
      <c r="CR69" s="39"/>
      <c r="CS69" s="39"/>
      <c r="CT69" s="39"/>
      <c r="CU69" s="39"/>
      <c r="CV69" s="39"/>
      <c r="CW69" s="39"/>
      <c r="CX69" s="39"/>
      <c r="CY69" s="39"/>
      <c r="CZ69" s="39"/>
      <c r="DA69" s="39"/>
      <c r="DB69" s="39"/>
      <c r="DC69" s="39"/>
      <c r="DD69" s="39"/>
      <c r="DE69" s="39"/>
      <c r="DF69" s="39"/>
      <c r="DG69" s="39"/>
      <c r="DH69" s="39"/>
      <c r="DI69" s="39"/>
      <c r="DJ69" s="39"/>
      <c r="DK69" s="39"/>
      <c r="DL69" s="39"/>
      <c r="DM69" s="39"/>
      <c r="DN69" s="39"/>
      <c r="DO69" s="39"/>
      <c r="DP69" s="39"/>
      <c r="DQ69" s="39"/>
      <c r="DR69" s="39"/>
      <c r="DS69" s="39"/>
      <c r="DT69" s="39"/>
      <c r="DU69" s="39"/>
      <c r="DV69" s="39"/>
      <c r="DW69" s="39"/>
      <c r="DX69" s="39"/>
      <c r="DY69" s="39"/>
      <c r="DZ69" s="39"/>
      <c r="EA69" s="39"/>
      <c r="EB69" s="39"/>
      <c r="EC69" s="39"/>
      <c r="ED69" s="39"/>
      <c r="EE69" s="39"/>
      <c r="EF69" s="39"/>
      <c r="EG69" s="39"/>
      <c r="EH69" s="39"/>
      <c r="EI69" s="39"/>
      <c r="EJ69" s="39"/>
      <c r="EK69" s="39"/>
      <c r="EL69" s="39"/>
      <c r="EM69" s="39"/>
      <c r="EN69" s="39"/>
      <c r="EO69" s="39"/>
      <c r="EP69" s="39"/>
      <c r="EQ69" s="39"/>
      <c r="ER69" s="39"/>
      <c r="ES69" s="39"/>
      <c r="ET69" s="39"/>
      <c r="EU69" s="39"/>
      <c r="EV69" s="39"/>
      <c r="EW69" s="39"/>
      <c r="EX69" s="39"/>
      <c r="EY69" s="39"/>
      <c r="EZ69" s="39"/>
      <c r="FA69" s="39"/>
      <c r="FB69" s="39"/>
      <c r="FC69" s="39"/>
      <c r="FD69" s="39"/>
      <c r="FE69" s="39"/>
      <c r="FF69" s="39"/>
      <c r="FG69" s="39"/>
      <c r="FH69" s="39"/>
      <c r="FI69" s="39"/>
      <c r="FJ69" s="39"/>
      <c r="FK69" s="39"/>
      <c r="FL69" s="39"/>
      <c r="FM69" s="39"/>
      <c r="FN69" s="39"/>
      <c r="FO69" s="39"/>
      <c r="FP69" s="39"/>
      <c r="FQ69" s="39"/>
      <c r="FR69" s="39"/>
      <c r="FS69" s="39"/>
      <c r="FT69" s="39"/>
      <c r="FU69" s="39"/>
      <c r="FV69" s="39"/>
    </row>
    <row r="70" spans="1:178" s="1" customFormat="1" ht="17.45" hidden="1" customHeight="1" x14ac:dyDescent="0.25">
      <c r="A70" s="16"/>
      <c r="B70" s="146"/>
      <c r="C70" s="20" t="s">
        <v>271</v>
      </c>
      <c r="D70" s="36"/>
      <c r="E70" s="427"/>
      <c r="F70" s="427"/>
      <c r="G70" s="427"/>
      <c r="H70" s="440"/>
      <c r="I70" s="427"/>
      <c r="J70" s="427"/>
    </row>
    <row r="71" spans="1:178" s="1" customFormat="1" ht="17.45" hidden="1" customHeight="1" x14ac:dyDescent="0.25">
      <c r="A71" s="17"/>
      <c r="B71" s="139"/>
      <c r="C71" s="18" t="s">
        <v>272</v>
      </c>
      <c r="D71" s="19" t="s">
        <v>273</v>
      </c>
      <c r="E71" s="19" t="e">
        <f>IF(#REF!&gt;0,"REALIZADO","PROJETADO")</f>
        <v>#REF!</v>
      </c>
      <c r="F71" s="19" t="e">
        <f>IF(#REF!&gt;0,"REALIZADO","PROJETADO")</f>
        <v>#REF!</v>
      </c>
      <c r="G71" s="19" t="e">
        <f>IF(#REF!&gt;0,"REALIZADO","PROJETADO")</f>
        <v>#REF!</v>
      </c>
      <c r="H71" s="441" t="s">
        <v>22</v>
      </c>
      <c r="I71" s="19"/>
      <c r="J71" s="19" t="s">
        <v>22</v>
      </c>
    </row>
    <row r="72" spans="1:178" s="1" customFormat="1" ht="17.25" hidden="1" customHeight="1" x14ac:dyDescent="0.25">
      <c r="A72" s="17"/>
      <c r="B72" s="139"/>
      <c r="C72" s="428" t="s">
        <v>274</v>
      </c>
      <c r="D72" s="429">
        <v>1999</v>
      </c>
      <c r="E72" s="429">
        <v>2000</v>
      </c>
      <c r="F72" s="429">
        <v>2001</v>
      </c>
      <c r="G72" s="429">
        <v>2002</v>
      </c>
      <c r="H72" s="442">
        <v>2003</v>
      </c>
      <c r="I72" s="429"/>
      <c r="J72" s="429">
        <v>2004</v>
      </c>
    </row>
    <row r="73" spans="1:178" s="1" customFormat="1" ht="17.45" hidden="1" customHeight="1" x14ac:dyDescent="0.25">
      <c r="A73" s="17"/>
      <c r="B73" s="139"/>
      <c r="C73" s="20"/>
      <c r="D73" s="21"/>
      <c r="E73" s="21"/>
      <c r="F73" s="21"/>
      <c r="G73" s="21"/>
      <c r="H73" s="443"/>
      <c r="I73" s="21"/>
      <c r="J73" s="21"/>
    </row>
    <row r="74" spans="1:178" s="1" customFormat="1" ht="16.5" hidden="1" thickBot="1" x14ac:dyDescent="0.3">
      <c r="A74" s="17"/>
      <c r="B74" s="139"/>
      <c r="C74" s="20" t="s">
        <v>275</v>
      </c>
      <c r="D74" s="22" t="e">
        <f>D8-#REF!-#REF!+D78-#REF!</f>
        <v>#REF!</v>
      </c>
      <c r="E74" s="22" t="e">
        <f>E8-#REF!-#REF!+E78-#REF!</f>
        <v>#REF!</v>
      </c>
      <c r="F74" s="22" t="e">
        <f>F8-#REF!-#REF!+F78-#REF!</f>
        <v>#REF!</v>
      </c>
      <c r="G74" s="22" t="e">
        <f>G8-#REF!-#REF!+G78-#REF!</f>
        <v>#REF!</v>
      </c>
      <c r="H74" s="444" t="e">
        <f>H8-#REF!-#REF!+H78-#REF!</f>
        <v>#REF!</v>
      </c>
      <c r="I74" s="22"/>
      <c r="J74" s="22" t="e">
        <f>J8-#REF!-#REF!+J78-#REF!</f>
        <v>#REF!</v>
      </c>
    </row>
    <row r="75" spans="1:178" s="1" customFormat="1" ht="16.5" hidden="1" thickBot="1" x14ac:dyDescent="0.3">
      <c r="A75" s="17"/>
      <c r="B75" s="139"/>
      <c r="C75" s="20" t="s">
        <v>276</v>
      </c>
      <c r="D75" s="22" t="e">
        <f>#REF!</f>
        <v>#REF!</v>
      </c>
      <c r="E75" s="22" t="e">
        <f>#REF!</f>
        <v>#REF!</v>
      </c>
      <c r="F75" s="22" t="e">
        <f>#REF!</f>
        <v>#REF!</v>
      </c>
      <c r="G75" s="22" t="e">
        <f>#REF!</f>
        <v>#REF!</v>
      </c>
      <c r="H75" s="444" t="e">
        <f>#REF!</f>
        <v>#REF!</v>
      </c>
      <c r="I75" s="22"/>
      <c r="J75" s="22" t="e">
        <f>#REF!</f>
        <v>#REF!</v>
      </c>
    </row>
    <row r="76" spans="1:178" s="1" customFormat="1" ht="16.5" hidden="1" thickBot="1" x14ac:dyDescent="0.3">
      <c r="A76" s="17"/>
      <c r="B76" s="139"/>
      <c r="C76" s="20" t="s">
        <v>277</v>
      </c>
      <c r="D76" s="22" t="e">
        <f>#REF!+#REF!+#REF!+#REF!+#REF!+#REF!+#REF!</f>
        <v>#REF!</v>
      </c>
      <c r="E76" s="22" t="e">
        <f>#REF!+#REF!+#REF!+#REF!+#REF!+#REF!+#REF!</f>
        <v>#REF!</v>
      </c>
      <c r="F76" s="22" t="e">
        <f>#REF!+#REF!+#REF!+#REF!+#REF!+#REF!+#REF!</f>
        <v>#REF!</v>
      </c>
      <c r="G76" s="22" t="e">
        <f>#REF!+#REF!+#REF!+#REF!+#REF!+#REF!+#REF!</f>
        <v>#REF!</v>
      </c>
      <c r="H76" s="444" t="e">
        <f>#REF!+#REF!+#REF!+#REF!+#REF!+#REF!+#REF!</f>
        <v>#REF!</v>
      </c>
      <c r="I76" s="22"/>
      <c r="J76" s="22" t="e">
        <f>#REF!+#REF!+#REF!+#REF!+#REF!+#REF!+#REF!</f>
        <v>#REF!</v>
      </c>
    </row>
    <row r="77" spans="1:178" s="1" customFormat="1" ht="16.5" hidden="1" thickBot="1" x14ac:dyDescent="0.3">
      <c r="A77" s="17"/>
      <c r="B77" s="139"/>
      <c r="C77" s="20" t="s">
        <v>278</v>
      </c>
      <c r="D77" s="22" t="e">
        <f>#REF!</f>
        <v>#REF!</v>
      </c>
      <c r="E77" s="22" t="e">
        <f>#REF!</f>
        <v>#REF!</v>
      </c>
      <c r="F77" s="22" t="e">
        <f>#REF!</f>
        <v>#REF!</v>
      </c>
      <c r="G77" s="22" t="e">
        <f>#REF!</f>
        <v>#REF!</v>
      </c>
      <c r="H77" s="444" t="e">
        <f>#REF!</f>
        <v>#REF!</v>
      </c>
      <c r="I77" s="22"/>
      <c r="J77" s="22" t="e">
        <f>#REF!</f>
        <v>#REF!</v>
      </c>
    </row>
    <row r="78" spans="1:178" s="1" customFormat="1" ht="16.5" hidden="1" thickBot="1" x14ac:dyDescent="0.3">
      <c r="A78" s="17"/>
      <c r="B78" s="139"/>
      <c r="C78" s="20" t="s">
        <v>279</v>
      </c>
      <c r="D78" s="22" t="e">
        <f>#REF!-#REF!</f>
        <v>#REF!</v>
      </c>
      <c r="E78" s="22" t="e">
        <f>#REF!-#REF!</f>
        <v>#REF!</v>
      </c>
      <c r="F78" s="22" t="e">
        <f>#REF!-#REF!</f>
        <v>#REF!</v>
      </c>
      <c r="G78" s="22" t="e">
        <f>#REF!-#REF!</f>
        <v>#REF!</v>
      </c>
      <c r="H78" s="444" t="e">
        <f>#REF!-#REF!</f>
        <v>#REF!</v>
      </c>
      <c r="I78" s="22"/>
      <c r="J78" s="22" t="e">
        <f>#REF!-#REF!</f>
        <v>#REF!</v>
      </c>
    </row>
    <row r="79" spans="1:178" s="1" customFormat="1" ht="16.5" hidden="1" thickBot="1" x14ac:dyDescent="0.3">
      <c r="A79" s="17"/>
      <c r="B79" s="139"/>
      <c r="C79" s="20" t="s">
        <v>280</v>
      </c>
      <c r="D79" s="22" t="e">
        <f>#REF!</f>
        <v>#REF!</v>
      </c>
      <c r="E79" s="22" t="e">
        <f>#REF!</f>
        <v>#REF!</v>
      </c>
      <c r="F79" s="22" t="e">
        <f>#REF!</f>
        <v>#REF!</v>
      </c>
      <c r="G79" s="22" t="e">
        <f>#REF!</f>
        <v>#REF!</v>
      </c>
      <c r="H79" s="444" t="e">
        <f>#REF!</f>
        <v>#REF!</v>
      </c>
      <c r="I79" s="22"/>
      <c r="J79" s="22" t="e">
        <f>#REF!</f>
        <v>#REF!</v>
      </c>
    </row>
    <row r="80" spans="1:178" s="1" customFormat="1" ht="16.5" hidden="1" thickBot="1" x14ac:dyDescent="0.3">
      <c r="A80" s="17"/>
      <c r="B80" s="139"/>
      <c r="C80" s="20" t="s">
        <v>281</v>
      </c>
      <c r="D80" s="22" t="e">
        <f>#REF!</f>
        <v>#REF!</v>
      </c>
      <c r="E80" s="22" t="e">
        <f>#REF!</f>
        <v>#REF!</v>
      </c>
      <c r="F80" s="22" t="e">
        <f>#REF!</f>
        <v>#REF!</v>
      </c>
      <c r="G80" s="22" t="e">
        <f>#REF!</f>
        <v>#REF!</v>
      </c>
      <c r="H80" s="444" t="e">
        <f>#REF!</f>
        <v>#REF!</v>
      </c>
      <c r="I80" s="22"/>
      <c r="J80" s="22" t="e">
        <f>#REF!</f>
        <v>#REF!</v>
      </c>
    </row>
    <row r="81" spans="1:10" s="1" customFormat="1" ht="16.5" hidden="1" thickBot="1" x14ac:dyDescent="0.3">
      <c r="A81" s="17"/>
      <c r="B81" s="139"/>
      <c r="C81" s="20" t="s">
        <v>282</v>
      </c>
      <c r="D81" s="22" t="e">
        <f>#REF!</f>
        <v>#REF!</v>
      </c>
      <c r="E81" s="22" t="e">
        <f>#REF!</f>
        <v>#REF!</v>
      </c>
      <c r="F81" s="22" t="e">
        <f>#REF!</f>
        <v>#REF!</v>
      </c>
      <c r="G81" s="22" t="e">
        <f>#REF!</f>
        <v>#REF!</v>
      </c>
      <c r="H81" s="444" t="e">
        <f>#REF!</f>
        <v>#REF!</v>
      </c>
      <c r="I81" s="22"/>
      <c r="J81" s="22" t="e">
        <f>#REF!</f>
        <v>#REF!</v>
      </c>
    </row>
    <row r="82" spans="1:10" s="1" customFormat="1" ht="16.5" hidden="1" thickBot="1" x14ac:dyDescent="0.3">
      <c r="A82" s="17"/>
      <c r="B82" s="139"/>
      <c r="C82" s="20" t="s">
        <v>283</v>
      </c>
      <c r="D82" s="22" t="e">
        <f>#REF!</f>
        <v>#REF!</v>
      </c>
      <c r="E82" s="22" t="e">
        <f>#REF!</f>
        <v>#REF!</v>
      </c>
      <c r="F82" s="22" t="e">
        <f>#REF!</f>
        <v>#REF!</v>
      </c>
      <c r="G82" s="22" t="e">
        <f>#REF!</f>
        <v>#REF!</v>
      </c>
      <c r="H82" s="444" t="e">
        <f>#REF!</f>
        <v>#REF!</v>
      </c>
      <c r="I82" s="22"/>
      <c r="J82" s="22" t="e">
        <f>#REF!</f>
        <v>#REF!</v>
      </c>
    </row>
    <row r="83" spans="1:10" s="1" customFormat="1" ht="16.5" hidden="1" thickBot="1" x14ac:dyDescent="0.3">
      <c r="A83" s="17"/>
      <c r="B83" s="139"/>
      <c r="C83" s="20" t="s">
        <v>284</v>
      </c>
      <c r="D83" s="22" t="e">
        <f>#REF!+#REF!+#REF!+#REF!+D65+#REF!+#REF!+D69+D48+#REF!</f>
        <v>#REF!</v>
      </c>
      <c r="E83" s="22" t="e">
        <f>#REF!+#REF!+#REF!+#REF!+E65+#REF!+#REF!+E69+E48+#REF!</f>
        <v>#REF!</v>
      </c>
      <c r="F83" s="22" t="e">
        <f>#REF!+#REF!+#REF!+#REF!+F65+#REF!+#REF!+F69+F48+#REF!</f>
        <v>#REF!</v>
      </c>
      <c r="G83" s="22" t="e">
        <f>#REF!+#REF!+#REF!+#REF!+G65+#REF!+#REF!+G69+G48+#REF!</f>
        <v>#REF!</v>
      </c>
      <c r="H83" s="444" t="e">
        <f>#REF!+#REF!+#REF!+#REF!+H65+#REF!+#REF!+H69+H48+#REF!</f>
        <v>#REF!</v>
      </c>
      <c r="I83" s="22"/>
      <c r="J83" s="22" t="e">
        <f>#REF!+#REF!+#REF!+#REF!+J65+#REF!+#REF!+J69+J48+#REF!</f>
        <v>#REF!</v>
      </c>
    </row>
    <row r="84" spans="1:10" s="1" customFormat="1" ht="16.5" hidden="1" thickBot="1" x14ac:dyDescent="0.3">
      <c r="A84" s="17"/>
      <c r="B84" s="139"/>
      <c r="C84" s="20" t="s">
        <v>285</v>
      </c>
      <c r="D84" s="22" t="e">
        <f>#REF!+#REF!</f>
        <v>#REF!</v>
      </c>
      <c r="E84" s="22" t="e">
        <f>#REF!+#REF!</f>
        <v>#REF!</v>
      </c>
      <c r="F84" s="22" t="e">
        <f>#REF!+#REF!</f>
        <v>#REF!</v>
      </c>
      <c r="G84" s="22" t="e">
        <f>#REF!+#REF!</f>
        <v>#REF!</v>
      </c>
      <c r="H84" s="444" t="e">
        <f>#REF!+#REF!</f>
        <v>#REF!</v>
      </c>
      <c r="I84" s="22"/>
      <c r="J84" s="22" t="e">
        <f>#REF!+#REF!</f>
        <v>#REF!</v>
      </c>
    </row>
    <row r="85" spans="1:10" s="1" customFormat="1" ht="16.5" hidden="1" thickBot="1" x14ac:dyDescent="0.3">
      <c r="A85" s="17"/>
      <c r="B85" s="139"/>
      <c r="C85" s="20" t="s">
        <v>286</v>
      </c>
      <c r="D85" s="22">
        <f>D57+D61</f>
        <v>0</v>
      </c>
      <c r="E85" s="22">
        <f>E57+E61</f>
        <v>0</v>
      </c>
      <c r="F85" s="22">
        <f>F57+F61</f>
        <v>0</v>
      </c>
      <c r="G85" s="22">
        <f>G57+G61</f>
        <v>0</v>
      </c>
      <c r="H85" s="444">
        <f>H57+H61</f>
        <v>0</v>
      </c>
      <c r="I85" s="22"/>
      <c r="J85" s="22">
        <f>J57+J61</f>
        <v>0</v>
      </c>
    </row>
    <row r="86" spans="1:10" s="1" customFormat="1" ht="16.5" hidden="1" thickBot="1" x14ac:dyDescent="0.3">
      <c r="A86" s="17"/>
      <c r="B86" s="139"/>
      <c r="C86" s="20" t="s">
        <v>287</v>
      </c>
      <c r="D86" s="22" t="e">
        <f>#REF!</f>
        <v>#REF!</v>
      </c>
      <c r="E86" s="22" t="e">
        <f>#REF!</f>
        <v>#REF!</v>
      </c>
      <c r="F86" s="22" t="e">
        <f>#REF!</f>
        <v>#REF!</v>
      </c>
      <c r="G86" s="22" t="e">
        <f>#REF!</f>
        <v>#REF!</v>
      </c>
      <c r="H86" s="444" t="e">
        <f>#REF!</f>
        <v>#REF!</v>
      </c>
      <c r="I86" s="22"/>
      <c r="J86" s="22" t="e">
        <f>#REF!</f>
        <v>#REF!</v>
      </c>
    </row>
    <row r="87" spans="1:10" s="1" customFormat="1" ht="16.5" hidden="1" thickBot="1" x14ac:dyDescent="0.3">
      <c r="A87" s="17"/>
      <c r="B87" s="139"/>
      <c r="C87" s="20" t="s">
        <v>288</v>
      </c>
      <c r="D87" s="22" t="e">
        <f>D52+#REF!+#REF!+#REF!+#REF!+#REF!+#REF!</f>
        <v>#REF!</v>
      </c>
      <c r="E87" s="22" t="e">
        <f>E52+#REF!+#REF!+#REF!+#REF!+#REF!+#REF!</f>
        <v>#REF!</v>
      </c>
      <c r="F87" s="22" t="e">
        <f>F52+#REF!+#REF!+#REF!+#REF!+#REF!+#REF!</f>
        <v>#REF!</v>
      </c>
      <c r="G87" s="22" t="e">
        <f>G52+#REF!+#REF!+#REF!+#REF!+#REF!+#REF!</f>
        <v>#REF!</v>
      </c>
      <c r="H87" s="444" t="e">
        <f>H52+#REF!+#REF!+#REF!+#REF!+#REF!+#REF!</f>
        <v>#REF!</v>
      </c>
      <c r="I87" s="22"/>
      <c r="J87" s="22" t="e">
        <f>J52+#REF!+#REF!+#REF!+#REF!+#REF!+#REF!</f>
        <v>#REF!</v>
      </c>
    </row>
    <row r="88" spans="1:10" s="1" customFormat="1" ht="16.5" hidden="1" thickBot="1" x14ac:dyDescent="0.3">
      <c r="A88" s="17"/>
      <c r="B88" s="139"/>
      <c r="C88" s="20" t="s">
        <v>289</v>
      </c>
      <c r="D88" s="22" t="e">
        <f>#REF!</f>
        <v>#REF!</v>
      </c>
      <c r="E88" s="22" t="e">
        <f>#REF!</f>
        <v>#REF!</v>
      </c>
      <c r="F88" s="22" t="e">
        <f>#REF!</f>
        <v>#REF!</v>
      </c>
      <c r="G88" s="22" t="e">
        <f>#REF!</f>
        <v>#REF!</v>
      </c>
      <c r="H88" s="444" t="e">
        <f>#REF!</f>
        <v>#REF!</v>
      </c>
      <c r="I88" s="22"/>
      <c r="J88" s="22" t="e">
        <f>#REF!</f>
        <v>#REF!</v>
      </c>
    </row>
    <row r="89" spans="1:10" s="1" customFormat="1" ht="16.5" hidden="1" thickBot="1" x14ac:dyDescent="0.3">
      <c r="A89" s="17"/>
      <c r="B89" s="139"/>
      <c r="C89" s="20" t="s">
        <v>290</v>
      </c>
      <c r="D89" s="22" t="e">
        <f>#REF!+#REF!</f>
        <v>#REF!</v>
      </c>
      <c r="E89" s="22" t="e">
        <f>#REF!+#REF!</f>
        <v>#REF!</v>
      </c>
      <c r="F89" s="22" t="e">
        <f>#REF!+#REF!</f>
        <v>#REF!</v>
      </c>
      <c r="G89" s="22" t="e">
        <f>#REF!+#REF!</f>
        <v>#REF!</v>
      </c>
      <c r="H89" s="444" t="e">
        <f>#REF!+#REF!</f>
        <v>#REF!</v>
      </c>
      <c r="I89" s="22"/>
      <c r="J89" s="22" t="e">
        <f>#REF!+#REF!</f>
        <v>#REF!</v>
      </c>
    </row>
    <row r="90" spans="1:10" s="1" customFormat="1" ht="16.5" hidden="1" thickBot="1" x14ac:dyDescent="0.3">
      <c r="A90" s="17"/>
      <c r="B90" s="139"/>
      <c r="C90" s="20" t="s">
        <v>291</v>
      </c>
      <c r="D90" s="22" t="e">
        <f>#REF!+#REF!</f>
        <v>#REF!</v>
      </c>
      <c r="E90" s="22" t="e">
        <f>#REF!+#REF!</f>
        <v>#REF!</v>
      </c>
      <c r="F90" s="22" t="e">
        <f>#REF!+#REF!</f>
        <v>#REF!</v>
      </c>
      <c r="G90" s="22" t="e">
        <f>#REF!+#REF!</f>
        <v>#REF!</v>
      </c>
      <c r="H90" s="444" t="e">
        <f>#REF!+#REF!</f>
        <v>#REF!</v>
      </c>
      <c r="I90" s="22"/>
      <c r="J90" s="22" t="e">
        <f>#REF!+#REF!</f>
        <v>#REF!</v>
      </c>
    </row>
    <row r="91" spans="1:10" s="1" customFormat="1" ht="16.5" hidden="1" thickBot="1" x14ac:dyDescent="0.3">
      <c r="A91" s="17"/>
      <c r="B91" s="139"/>
      <c r="C91" s="20" t="s">
        <v>292</v>
      </c>
      <c r="D91" s="22" t="e">
        <f>D89+D90</f>
        <v>#REF!</v>
      </c>
      <c r="E91" s="22" t="e">
        <f t="shared" ref="E91:J91" si="17">E89+E90</f>
        <v>#REF!</v>
      </c>
      <c r="F91" s="22" t="e">
        <f t="shared" si="17"/>
        <v>#REF!</v>
      </c>
      <c r="G91" s="22" t="e">
        <f t="shared" si="17"/>
        <v>#REF!</v>
      </c>
      <c r="H91" s="444" t="e">
        <f t="shared" si="17"/>
        <v>#REF!</v>
      </c>
      <c r="I91" s="22"/>
      <c r="J91" s="22" t="e">
        <f t="shared" si="17"/>
        <v>#REF!</v>
      </c>
    </row>
    <row r="92" spans="1:10" s="1" customFormat="1" ht="16.5" hidden="1" thickBot="1" x14ac:dyDescent="0.3">
      <c r="A92" s="17"/>
      <c r="B92" s="139"/>
      <c r="C92" s="20" t="s">
        <v>293</v>
      </c>
      <c r="D92" s="22" t="e">
        <f xml:space="preserve"> ((D8+#REF!)-(D76)-((#REF!+#REF!)-D91))</f>
        <v>#REF!</v>
      </c>
      <c r="E92" s="22" t="e">
        <f xml:space="preserve"> ((E8+#REF!)-(E76)-((#REF!+#REF!)-E91))</f>
        <v>#REF!</v>
      </c>
      <c r="F92" s="22" t="e">
        <f xml:space="preserve"> ((F8+#REF!)-(F76)-((#REF!+#REF!)-F91))</f>
        <v>#REF!</v>
      </c>
      <c r="G92" s="22" t="e">
        <f xml:space="preserve"> ((G8+#REF!)-(G76)-((#REF!+#REF!)-G91))</f>
        <v>#REF!</v>
      </c>
      <c r="H92" s="444" t="e">
        <f xml:space="preserve"> ((H8+#REF!)-(H76)-((#REF!+#REF!)-H91))</f>
        <v>#REF!</v>
      </c>
      <c r="I92" s="22"/>
      <c r="J92" s="22" t="e">
        <f xml:space="preserve"> ((J8+#REF!)-(J76)-((#REF!+#REF!)-J91))</f>
        <v>#REF!</v>
      </c>
    </row>
    <row r="93" spans="1:10" s="1" customFormat="1" ht="16.5" hidden="1" thickBot="1" x14ac:dyDescent="0.3">
      <c r="A93" s="17"/>
      <c r="B93" s="139"/>
      <c r="C93" s="23" t="s">
        <v>294</v>
      </c>
      <c r="D93" s="24" t="e">
        <f>-(D92-(D89-#REF!-#REF!-#REF!-#REF!))</f>
        <v>#REF!</v>
      </c>
      <c r="E93" s="24" t="e">
        <f>-(E92-(E89-#REF!-#REF!-#REF!-#REF!))</f>
        <v>#REF!</v>
      </c>
      <c r="F93" s="24" t="e">
        <f>-(F92-(F89-#REF!-#REF!-#REF!-#REF!))</f>
        <v>#REF!</v>
      </c>
      <c r="G93" s="24" t="e">
        <f>-(G92-(G89-#REF!-#REF!-#REF!-#REF!))</f>
        <v>#REF!</v>
      </c>
      <c r="H93" s="445" t="e">
        <f>-(H92-(H89-#REF!-#REF!-#REF!-#REF!))</f>
        <v>#REF!</v>
      </c>
      <c r="I93" s="24"/>
      <c r="J93" s="24" t="e">
        <f>-(J92-(J89-#REF!-#REF!-#REF!-#REF!))</f>
        <v>#REF!</v>
      </c>
    </row>
    <row r="94" spans="1:10" s="1" customFormat="1" ht="16.5" thickTop="1" x14ac:dyDescent="0.25">
      <c r="A94" s="17"/>
      <c r="B94" s="139"/>
      <c r="C94" s="25"/>
      <c r="D94" s="25"/>
      <c r="E94" s="25"/>
      <c r="F94" s="25"/>
      <c r="G94" s="25"/>
      <c r="H94" s="446">
        <f>4627000-H69</f>
        <v>2626999.9967999998</v>
      </c>
      <c r="I94" s="446">
        <f t="shared" ref="I94:J94" si="18">4627000-I69</f>
        <v>2534209.6395573332</v>
      </c>
      <c r="J94" s="446">
        <f t="shared" si="18"/>
        <v>2418279.1073305421</v>
      </c>
    </row>
    <row r="95" spans="1:10" s="1" customFormat="1" x14ac:dyDescent="0.25">
      <c r="B95" s="140"/>
      <c r="C95" s="2"/>
      <c r="D95" s="2"/>
      <c r="E95" s="2"/>
      <c r="F95" s="2"/>
      <c r="G95" s="2"/>
      <c r="H95" s="447">
        <v>200000</v>
      </c>
      <c r="I95" s="2"/>
      <c r="J95" s="2"/>
    </row>
    <row r="96" spans="1:10" s="1" customFormat="1" x14ac:dyDescent="0.25">
      <c r="B96" s="140"/>
      <c r="C96" s="2"/>
      <c r="D96" s="2"/>
      <c r="E96" s="2"/>
      <c r="F96" s="2"/>
      <c r="G96" s="2"/>
      <c r="H96" s="447">
        <f>H69+H94+Projeções!H148+H95</f>
        <v>32999999.997433186</v>
      </c>
      <c r="I96" s="2"/>
      <c r="J96" s="2"/>
    </row>
    <row r="97" spans="2:10" s="1" customFormat="1" x14ac:dyDescent="0.25">
      <c r="B97" s="140"/>
      <c r="C97" s="2"/>
      <c r="D97" s="2"/>
      <c r="E97" s="2"/>
      <c r="F97" s="2"/>
      <c r="G97" s="2"/>
      <c r="H97" s="2"/>
      <c r="I97" s="2"/>
      <c r="J97" s="2"/>
    </row>
    <row r="98" spans="2:10" s="1" customFormat="1" x14ac:dyDescent="0.25">
      <c r="B98" s="140"/>
      <c r="C98" s="2"/>
      <c r="D98" s="2"/>
      <c r="E98" s="2"/>
      <c r="F98" s="2"/>
      <c r="G98" s="2"/>
      <c r="H98" s="2"/>
      <c r="I98" s="2"/>
      <c r="J98" s="2"/>
    </row>
    <row r="99" spans="2:10" s="1" customFormat="1" x14ac:dyDescent="0.25">
      <c r="B99" s="140"/>
      <c r="D99" s="2"/>
      <c r="E99" s="2"/>
      <c r="F99" s="2"/>
      <c r="G99" s="2"/>
      <c r="H99" s="2"/>
      <c r="I99" s="2"/>
      <c r="J99" s="2"/>
    </row>
    <row r="100" spans="2:10" s="1" customFormat="1" x14ac:dyDescent="0.25">
      <c r="B100" s="140"/>
      <c r="C100" s="2"/>
      <c r="D100" s="2"/>
      <c r="E100" s="2"/>
      <c r="F100" s="2"/>
      <c r="G100" s="2"/>
      <c r="H100" s="2"/>
      <c r="I100" s="2"/>
      <c r="J100" s="2"/>
    </row>
    <row r="101" spans="2:10" s="1" customFormat="1" x14ac:dyDescent="0.25">
      <c r="B101" s="140"/>
      <c r="C101" s="2"/>
      <c r="D101" s="2"/>
      <c r="E101" s="2"/>
      <c r="F101" s="2"/>
      <c r="G101" s="2"/>
      <c r="H101" s="2"/>
      <c r="I101" s="2"/>
      <c r="J101" s="2"/>
    </row>
    <row r="102" spans="2:10" s="1" customFormat="1" x14ac:dyDescent="0.25">
      <c r="B102" s="140"/>
      <c r="C102" s="2"/>
      <c r="D102" s="2"/>
      <c r="E102" s="2"/>
      <c r="F102" s="2"/>
      <c r="G102" s="2"/>
      <c r="H102" s="2"/>
      <c r="I102" s="2"/>
      <c r="J102" s="2"/>
    </row>
    <row r="103" spans="2:10" s="1" customFormat="1" x14ac:dyDescent="0.25">
      <c r="B103" s="140"/>
      <c r="C103" s="2"/>
      <c r="D103" s="2"/>
      <c r="E103" s="2"/>
      <c r="F103" s="2"/>
      <c r="G103" s="2"/>
      <c r="H103" s="2"/>
      <c r="I103" s="2"/>
      <c r="J103" s="2"/>
    </row>
    <row r="104" spans="2:10" s="1" customFormat="1" x14ac:dyDescent="0.25">
      <c r="B104" s="140"/>
      <c r="C104" s="2"/>
      <c r="D104" s="2"/>
      <c r="E104" s="2"/>
      <c r="F104" s="2"/>
      <c r="G104" s="2"/>
      <c r="H104" s="2"/>
      <c r="I104" s="2"/>
      <c r="J104" s="2"/>
    </row>
    <row r="105" spans="2:10" s="1" customFormat="1" x14ac:dyDescent="0.25">
      <c r="B105" s="140"/>
      <c r="C105" s="2"/>
      <c r="D105" s="2"/>
      <c r="E105" s="2"/>
      <c r="F105" s="2"/>
      <c r="G105" s="2"/>
      <c r="H105" s="2"/>
      <c r="I105" s="2"/>
      <c r="J105" s="2"/>
    </row>
    <row r="106" spans="2:10" s="1" customFormat="1" ht="19.149999999999999" customHeight="1" x14ac:dyDescent="0.25">
      <c r="B106" s="140"/>
      <c r="C106" s="2"/>
      <c r="D106" s="2"/>
      <c r="E106" s="2"/>
      <c r="F106" s="2"/>
      <c r="G106" s="2"/>
      <c r="H106" s="2"/>
      <c r="I106" s="2"/>
      <c r="J106" s="2"/>
    </row>
    <row r="107" spans="2:10" s="1" customFormat="1" x14ac:dyDescent="0.25">
      <c r="B107" s="140"/>
      <c r="C107" s="2"/>
      <c r="D107" s="2"/>
      <c r="E107" s="2"/>
      <c r="F107" s="2"/>
      <c r="G107" s="2"/>
      <c r="H107" s="2"/>
      <c r="I107" s="2"/>
      <c r="J107" s="2"/>
    </row>
    <row r="108" spans="2:10" s="1" customFormat="1" x14ac:dyDescent="0.25">
      <c r="B108" s="140"/>
      <c r="C108" s="2"/>
      <c r="D108" s="2"/>
      <c r="E108" s="2"/>
      <c r="F108" s="2"/>
      <c r="G108" s="2"/>
      <c r="H108" s="2"/>
      <c r="I108" s="2"/>
      <c r="J108" s="2"/>
    </row>
    <row r="109" spans="2:10" s="1" customFormat="1" x14ac:dyDescent="0.25">
      <c r="B109" s="140"/>
      <c r="C109" s="2"/>
      <c r="D109" s="2"/>
      <c r="E109" s="2"/>
      <c r="F109" s="2"/>
      <c r="G109" s="2"/>
      <c r="H109" s="2"/>
      <c r="I109" s="2"/>
      <c r="J109" s="2"/>
    </row>
    <row r="110" spans="2:10" s="1" customFormat="1" x14ac:dyDescent="0.25">
      <c r="B110" s="140"/>
      <c r="C110" s="2"/>
      <c r="D110" s="2"/>
      <c r="E110" s="2"/>
      <c r="F110" s="2"/>
      <c r="G110" s="2"/>
      <c r="H110" s="2"/>
      <c r="I110" s="2"/>
      <c r="J110" s="2"/>
    </row>
    <row r="111" spans="2:10" s="1" customFormat="1" x14ac:dyDescent="0.25">
      <c r="B111" s="140"/>
      <c r="C111" s="2"/>
      <c r="D111" s="2"/>
      <c r="E111" s="2"/>
      <c r="F111" s="2"/>
      <c r="G111" s="2"/>
      <c r="H111" s="2"/>
      <c r="I111" s="2"/>
      <c r="J111" s="2"/>
    </row>
    <row r="112" spans="2:10" s="1" customFormat="1" x14ac:dyDescent="0.25">
      <c r="B112" s="140"/>
      <c r="C112" s="2"/>
      <c r="D112" s="2"/>
      <c r="E112" s="2"/>
      <c r="F112" s="2"/>
      <c r="G112" s="2"/>
      <c r="H112" s="2"/>
      <c r="I112" s="2"/>
      <c r="J112" s="2"/>
    </row>
    <row r="113" spans="2:10" s="2" customFormat="1" x14ac:dyDescent="0.25">
      <c r="B113" s="140"/>
      <c r="D113" s="4"/>
      <c r="E113" s="4"/>
      <c r="F113" s="4"/>
      <c r="G113" s="4"/>
      <c r="H113" s="4"/>
      <c r="I113" s="4"/>
      <c r="J113" s="4"/>
    </row>
    <row r="114" spans="2:10" s="1" customFormat="1" x14ac:dyDescent="0.25">
      <c r="B114" s="140"/>
    </row>
    <row r="115" spans="2:10" s="1" customFormat="1" x14ac:dyDescent="0.25">
      <c r="B115" s="140"/>
    </row>
    <row r="116" spans="2:10" s="1" customFormat="1" x14ac:dyDescent="0.25">
      <c r="B116" s="140"/>
    </row>
    <row r="117" spans="2:10" s="1" customFormat="1" x14ac:dyDescent="0.25">
      <c r="B117" s="140"/>
    </row>
    <row r="118" spans="2:10" s="1" customFormat="1" x14ac:dyDescent="0.25">
      <c r="B118" s="140"/>
    </row>
    <row r="119" spans="2:10" s="1" customFormat="1" x14ac:dyDescent="0.25">
      <c r="B119" s="140"/>
    </row>
    <row r="120" spans="2:10" s="1" customFormat="1" x14ac:dyDescent="0.25">
      <c r="B120" s="140"/>
    </row>
    <row r="121" spans="2:10" s="1" customFormat="1" x14ac:dyDescent="0.25">
      <c r="B121" s="140"/>
    </row>
    <row r="122" spans="2:10" s="1" customFormat="1" x14ac:dyDescent="0.25">
      <c r="B122" s="140"/>
    </row>
    <row r="123" spans="2:10" s="1" customFormat="1" x14ac:dyDescent="0.25">
      <c r="B123" s="140"/>
    </row>
    <row r="124" spans="2:10" s="1" customFormat="1" x14ac:dyDescent="0.25">
      <c r="B124" s="140"/>
    </row>
    <row r="125" spans="2:10" s="1" customFormat="1" x14ac:dyDescent="0.25">
      <c r="B125" s="140"/>
    </row>
    <row r="126" spans="2:10" s="1" customFormat="1" x14ac:dyDescent="0.25">
      <c r="B126" s="140"/>
    </row>
    <row r="127" spans="2:10" s="1" customFormat="1" x14ac:dyDescent="0.25">
      <c r="B127" s="140"/>
    </row>
    <row r="128" spans="2:10" s="1" customFormat="1" x14ac:dyDescent="0.25">
      <c r="B128" s="140"/>
    </row>
    <row r="129" spans="2:2" s="1" customFormat="1" x14ac:dyDescent="0.25">
      <c r="B129" s="140"/>
    </row>
    <row r="130" spans="2:2" s="1" customFormat="1" x14ac:dyDescent="0.25">
      <c r="B130" s="140"/>
    </row>
    <row r="131" spans="2:2" s="1" customFormat="1" x14ac:dyDescent="0.25">
      <c r="B131" s="140"/>
    </row>
    <row r="132" spans="2:2" s="1" customFormat="1" x14ac:dyDescent="0.25">
      <c r="B132" s="140"/>
    </row>
    <row r="133" spans="2:2" s="1" customFormat="1" x14ac:dyDescent="0.25">
      <c r="B133" s="140"/>
    </row>
    <row r="134" spans="2:2" s="1" customFormat="1" x14ac:dyDescent="0.25">
      <c r="B134" s="140"/>
    </row>
    <row r="135" spans="2:2" s="1" customFormat="1" x14ac:dyDescent="0.25">
      <c r="B135" s="140"/>
    </row>
    <row r="136" spans="2:2" s="1" customFormat="1" x14ac:dyDescent="0.25">
      <c r="B136" s="140"/>
    </row>
    <row r="137" spans="2:2" s="1" customFormat="1" x14ac:dyDescent="0.25">
      <c r="B137" s="140"/>
    </row>
    <row r="138" spans="2:2" s="1" customFormat="1" x14ac:dyDescent="0.25">
      <c r="B138" s="140"/>
    </row>
    <row r="139" spans="2:2" s="1" customFormat="1" x14ac:dyDescent="0.25">
      <c r="B139" s="140"/>
    </row>
    <row r="140" spans="2:2" s="1" customFormat="1" x14ac:dyDescent="0.25">
      <c r="B140" s="140"/>
    </row>
    <row r="141" spans="2:2" s="1" customFormat="1" x14ac:dyDescent="0.25">
      <c r="B141" s="140"/>
    </row>
    <row r="142" spans="2:2" s="1" customFormat="1" x14ac:dyDescent="0.25">
      <c r="B142" s="140"/>
    </row>
    <row r="143" spans="2:2" s="1" customFormat="1" x14ac:dyDescent="0.25">
      <c r="B143" s="140"/>
    </row>
    <row r="144" spans="2:2" s="1" customFormat="1" x14ac:dyDescent="0.25">
      <c r="B144" s="140"/>
    </row>
    <row r="145" spans="2:2" s="1" customFormat="1" x14ac:dyDescent="0.25">
      <c r="B145" s="140"/>
    </row>
    <row r="146" spans="2:2" s="1" customFormat="1" x14ac:dyDescent="0.25">
      <c r="B146" s="140"/>
    </row>
    <row r="147" spans="2:2" s="1" customFormat="1" x14ac:dyDescent="0.25">
      <c r="B147" s="140"/>
    </row>
    <row r="148" spans="2:2" s="1" customFormat="1" x14ac:dyDescent="0.25">
      <c r="B148" s="140"/>
    </row>
    <row r="149" spans="2:2" s="1" customFormat="1" x14ac:dyDescent="0.25">
      <c r="B149" s="140"/>
    </row>
    <row r="150" spans="2:2" s="1" customFormat="1" x14ac:dyDescent="0.25">
      <c r="B150" s="140"/>
    </row>
    <row r="151" spans="2:2" s="1" customFormat="1" x14ac:dyDescent="0.25">
      <c r="B151" s="140"/>
    </row>
    <row r="152" spans="2:2" s="1" customFormat="1" x14ac:dyDescent="0.25">
      <c r="B152" s="140"/>
    </row>
    <row r="153" spans="2:2" s="1" customFormat="1" x14ac:dyDescent="0.25">
      <c r="B153" s="140"/>
    </row>
    <row r="154" spans="2:2" s="1" customFormat="1" x14ac:dyDescent="0.25">
      <c r="B154" s="140"/>
    </row>
    <row r="155" spans="2:2" s="1" customFormat="1" x14ac:dyDescent="0.25">
      <c r="B155" s="140"/>
    </row>
    <row r="156" spans="2:2" s="1" customFormat="1" x14ac:dyDescent="0.25">
      <c r="B156" s="140"/>
    </row>
    <row r="157" spans="2:2" s="1" customFormat="1" x14ac:dyDescent="0.25">
      <c r="B157" s="140"/>
    </row>
    <row r="158" spans="2:2" s="1" customFormat="1" x14ac:dyDescent="0.25">
      <c r="B158" s="140"/>
    </row>
    <row r="159" spans="2:2" s="1" customFormat="1" x14ac:dyDescent="0.25">
      <c r="B159" s="140"/>
    </row>
    <row r="160" spans="2:2" s="1" customFormat="1" x14ac:dyDescent="0.25">
      <c r="B160" s="140"/>
    </row>
    <row r="161" spans="2:2" s="1" customFormat="1" x14ac:dyDescent="0.25">
      <c r="B161" s="140"/>
    </row>
    <row r="162" spans="2:2" s="1" customFormat="1" x14ac:dyDescent="0.25">
      <c r="B162" s="140"/>
    </row>
    <row r="163" spans="2:2" s="1" customFormat="1" x14ac:dyDescent="0.25">
      <c r="B163" s="140"/>
    </row>
    <row r="164" spans="2:2" s="1" customFormat="1" x14ac:dyDescent="0.25">
      <c r="B164" s="140"/>
    </row>
    <row r="165" spans="2:2" s="1" customFormat="1" x14ac:dyDescent="0.25">
      <c r="B165" s="140"/>
    </row>
    <row r="166" spans="2:2" s="1" customFormat="1" x14ac:dyDescent="0.25">
      <c r="B166" s="140"/>
    </row>
    <row r="167" spans="2:2" s="1" customFormat="1" x14ac:dyDescent="0.25">
      <c r="B167" s="140"/>
    </row>
    <row r="168" spans="2:2" s="1" customFormat="1" x14ac:dyDescent="0.25">
      <c r="B168" s="140"/>
    </row>
    <row r="169" spans="2:2" s="1" customFormat="1" x14ac:dyDescent="0.25">
      <c r="B169" s="140"/>
    </row>
    <row r="170" spans="2:2" s="1" customFormat="1" x14ac:dyDescent="0.25">
      <c r="B170" s="140"/>
    </row>
    <row r="171" spans="2:2" s="1" customFormat="1" x14ac:dyDescent="0.25">
      <c r="B171" s="140"/>
    </row>
    <row r="172" spans="2:2" s="1" customFormat="1" x14ac:dyDescent="0.25">
      <c r="B172" s="140"/>
    </row>
    <row r="173" spans="2:2" s="1" customFormat="1" x14ac:dyDescent="0.25">
      <c r="B173" s="140"/>
    </row>
    <row r="174" spans="2:2" s="1" customFormat="1" x14ac:dyDescent="0.25">
      <c r="B174" s="140"/>
    </row>
    <row r="175" spans="2:2" s="1" customFormat="1" x14ac:dyDescent="0.25">
      <c r="B175" s="140"/>
    </row>
    <row r="176" spans="2:2" s="1" customFormat="1" x14ac:dyDescent="0.25">
      <c r="B176" s="140"/>
    </row>
    <row r="177" spans="2:2" s="1" customFormat="1" x14ac:dyDescent="0.25">
      <c r="B177" s="140"/>
    </row>
    <row r="178" spans="2:2" s="1" customFormat="1" x14ac:dyDescent="0.25">
      <c r="B178" s="140"/>
    </row>
    <row r="179" spans="2:2" s="1" customFormat="1" x14ac:dyDescent="0.25">
      <c r="B179" s="140"/>
    </row>
    <row r="180" spans="2:2" s="1" customFormat="1" x14ac:dyDescent="0.25">
      <c r="B180" s="140"/>
    </row>
    <row r="181" spans="2:2" s="1" customFormat="1" x14ac:dyDescent="0.25">
      <c r="B181" s="140"/>
    </row>
    <row r="182" spans="2:2" s="1" customFormat="1" x14ac:dyDescent="0.25">
      <c r="B182" s="140"/>
    </row>
    <row r="183" spans="2:2" s="1" customFormat="1" x14ac:dyDescent="0.25">
      <c r="B183" s="140"/>
    </row>
    <row r="184" spans="2:2" s="1" customFormat="1" x14ac:dyDescent="0.25">
      <c r="B184" s="140"/>
    </row>
    <row r="185" spans="2:2" s="1" customFormat="1" x14ac:dyDescent="0.25">
      <c r="B185" s="140"/>
    </row>
    <row r="186" spans="2:2" s="1" customFormat="1" x14ac:dyDescent="0.25">
      <c r="B186" s="140"/>
    </row>
    <row r="187" spans="2:2" s="1" customFormat="1" x14ac:dyDescent="0.25">
      <c r="B187" s="140"/>
    </row>
    <row r="188" spans="2:2" s="1" customFormat="1" x14ac:dyDescent="0.25">
      <c r="B188" s="140"/>
    </row>
    <row r="189" spans="2:2" s="1" customFormat="1" x14ac:dyDescent="0.25">
      <c r="B189" s="140"/>
    </row>
    <row r="190" spans="2:2" s="1" customFormat="1" x14ac:dyDescent="0.25">
      <c r="B190" s="140"/>
    </row>
    <row r="191" spans="2:2" s="1" customFormat="1" x14ac:dyDescent="0.25">
      <c r="B191" s="140"/>
    </row>
    <row r="192" spans="2:2" s="1" customFormat="1" x14ac:dyDescent="0.25">
      <c r="B192" s="140"/>
    </row>
    <row r="193" spans="2:2" s="1" customFormat="1" x14ac:dyDescent="0.25">
      <c r="B193" s="140"/>
    </row>
    <row r="194" spans="2:2" s="1" customFormat="1" x14ac:dyDescent="0.25">
      <c r="B194" s="140"/>
    </row>
    <row r="195" spans="2:2" s="1" customFormat="1" x14ac:dyDescent="0.25">
      <c r="B195" s="140"/>
    </row>
    <row r="196" spans="2:2" s="1" customFormat="1" x14ac:dyDescent="0.25">
      <c r="B196" s="140"/>
    </row>
    <row r="197" spans="2:2" s="1" customFormat="1" x14ac:dyDescent="0.25">
      <c r="B197" s="140"/>
    </row>
    <row r="198" spans="2:2" s="1" customFormat="1" x14ac:dyDescent="0.25">
      <c r="B198" s="140"/>
    </row>
    <row r="199" spans="2:2" s="1" customFormat="1" x14ac:dyDescent="0.25">
      <c r="B199" s="140"/>
    </row>
    <row r="200" spans="2:2" s="1" customFormat="1" x14ac:dyDescent="0.25">
      <c r="B200" s="140"/>
    </row>
    <row r="201" spans="2:2" s="1" customFormat="1" x14ac:dyDescent="0.25">
      <c r="B201" s="140"/>
    </row>
    <row r="202" spans="2:2" s="1" customFormat="1" x14ac:dyDescent="0.25">
      <c r="B202" s="140"/>
    </row>
    <row r="203" spans="2:2" s="1" customFormat="1" x14ac:dyDescent="0.25">
      <c r="B203" s="140"/>
    </row>
    <row r="204" spans="2:2" s="1" customFormat="1" x14ac:dyDescent="0.25">
      <c r="B204" s="140"/>
    </row>
    <row r="205" spans="2:2" s="1" customFormat="1" x14ac:dyDescent="0.25">
      <c r="B205" s="140"/>
    </row>
    <row r="206" spans="2:2" s="1" customFormat="1" x14ac:dyDescent="0.25">
      <c r="B206" s="140"/>
    </row>
    <row r="207" spans="2:2" s="1" customFormat="1" x14ac:dyDescent="0.25">
      <c r="B207" s="140"/>
    </row>
    <row r="208" spans="2:2" s="1" customFormat="1" x14ac:dyDescent="0.25">
      <c r="B208" s="140"/>
    </row>
    <row r="209" spans="2:2" s="1" customFormat="1" x14ac:dyDescent="0.25">
      <c r="B209" s="140"/>
    </row>
    <row r="210" spans="2:2" s="1" customFormat="1" x14ac:dyDescent="0.25">
      <c r="B210" s="140"/>
    </row>
    <row r="211" spans="2:2" s="1" customFormat="1" x14ac:dyDescent="0.25">
      <c r="B211" s="140"/>
    </row>
    <row r="212" spans="2:2" s="1" customFormat="1" x14ac:dyDescent="0.25">
      <c r="B212" s="140"/>
    </row>
    <row r="213" spans="2:2" s="1" customFormat="1" x14ac:dyDescent="0.25">
      <c r="B213" s="140"/>
    </row>
    <row r="214" spans="2:2" s="1" customFormat="1" x14ac:dyDescent="0.25">
      <c r="B214" s="140"/>
    </row>
    <row r="215" spans="2:2" s="1" customFormat="1" x14ac:dyDescent="0.25">
      <c r="B215" s="140"/>
    </row>
    <row r="216" spans="2:2" s="1" customFormat="1" x14ac:dyDescent="0.25">
      <c r="B216" s="140"/>
    </row>
    <row r="217" spans="2:2" s="1" customFormat="1" x14ac:dyDescent="0.25">
      <c r="B217" s="140"/>
    </row>
    <row r="218" spans="2:2" s="1" customFormat="1" x14ac:dyDescent="0.25">
      <c r="B218" s="140"/>
    </row>
    <row r="219" spans="2:2" s="1" customFormat="1" x14ac:dyDescent="0.25">
      <c r="B219" s="140"/>
    </row>
    <row r="220" spans="2:2" s="1" customFormat="1" x14ac:dyDescent="0.25">
      <c r="B220" s="140"/>
    </row>
    <row r="221" spans="2:2" s="1" customFormat="1" x14ac:dyDescent="0.25">
      <c r="B221" s="140"/>
    </row>
    <row r="222" spans="2:2" s="1" customFormat="1" x14ac:dyDescent="0.25">
      <c r="B222" s="140"/>
    </row>
    <row r="223" spans="2:2" s="1" customFormat="1" x14ac:dyDescent="0.25">
      <c r="B223" s="140"/>
    </row>
    <row r="224" spans="2:2" s="1" customFormat="1" x14ac:dyDescent="0.25">
      <c r="B224" s="140"/>
    </row>
    <row r="225" spans="2:2" s="1" customFormat="1" x14ac:dyDescent="0.25">
      <c r="B225" s="140"/>
    </row>
    <row r="226" spans="2:2" s="1" customFormat="1" x14ac:dyDescent="0.25">
      <c r="B226" s="140"/>
    </row>
    <row r="227" spans="2:2" s="1" customFormat="1" x14ac:dyDescent="0.25">
      <c r="B227" s="140"/>
    </row>
  </sheetData>
  <mergeCells count="36">
    <mergeCell ref="A67:B67"/>
    <mergeCell ref="A68:B68"/>
    <mergeCell ref="A63:B63"/>
    <mergeCell ref="A64:B64"/>
    <mergeCell ref="A65:B65"/>
    <mergeCell ref="A66:B66"/>
    <mergeCell ref="A62:B62"/>
    <mergeCell ref="A51:B51"/>
    <mergeCell ref="A52:B52"/>
    <mergeCell ref="A53:B53"/>
    <mergeCell ref="A54:B54"/>
    <mergeCell ref="A55:B55"/>
    <mergeCell ref="A56:B56"/>
    <mergeCell ref="A57:B57"/>
    <mergeCell ref="A58:B58"/>
    <mergeCell ref="A59:B59"/>
    <mergeCell ref="A60:B60"/>
    <mergeCell ref="A61:B61"/>
    <mergeCell ref="A50:B50"/>
    <mergeCell ref="A38:J38"/>
    <mergeCell ref="A39:J39"/>
    <mergeCell ref="A41:B42"/>
    <mergeCell ref="C41:C42"/>
    <mergeCell ref="A43:B43"/>
    <mergeCell ref="A45:B45"/>
    <mergeCell ref="A46:B46"/>
    <mergeCell ref="A47:B47"/>
    <mergeCell ref="A48:B48"/>
    <mergeCell ref="A44:B44"/>
    <mergeCell ref="A49:B49"/>
    <mergeCell ref="A37:J37"/>
    <mergeCell ref="A1:J1"/>
    <mergeCell ref="A2:J2"/>
    <mergeCell ref="A3:J3"/>
    <mergeCell ref="A6:A7"/>
    <mergeCell ref="B6:B7"/>
  </mergeCells>
  <pageMargins left="0.511811024" right="0.511811024" top="0.78740157499999996" bottom="0.78740157499999996" header="0.31496062000000002" footer="0.31496062000000002"/>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0DAA9-362D-44F3-A640-726E6C095A78}">
  <dimension ref="A1:D18"/>
  <sheetViews>
    <sheetView workbookViewId="0">
      <selection activeCell="A2" sqref="A2:D2"/>
    </sheetView>
  </sheetViews>
  <sheetFormatPr defaultRowHeight="12.75" x14ac:dyDescent="0.2"/>
  <cols>
    <col min="1" max="1" width="53.85546875" customWidth="1"/>
    <col min="2" max="2" width="16.140625" customWidth="1"/>
    <col min="3" max="3" width="16.28515625" customWidth="1"/>
    <col min="4" max="4" width="15.28515625" customWidth="1"/>
  </cols>
  <sheetData>
    <row r="1" spans="1:4" x14ac:dyDescent="0.2">
      <c r="A1" s="486" t="str">
        <f>Parâmetros!A7</f>
        <v>Município de :   NOVA PÁDUA</v>
      </c>
      <c r="B1" s="487"/>
      <c r="C1" s="487"/>
      <c r="D1" s="487"/>
    </row>
    <row r="2" spans="1:4" x14ac:dyDescent="0.2">
      <c r="A2" s="486" t="str">
        <f>Parâmetros!A8</f>
        <v>LEI DE DIRETRIZES ORÇAMENTÁRIAS  PARA 2025</v>
      </c>
      <c r="B2" s="487"/>
      <c r="C2" s="487"/>
      <c r="D2" s="487"/>
    </row>
    <row r="3" spans="1:4" x14ac:dyDescent="0.2">
      <c r="A3" s="488" t="s">
        <v>324</v>
      </c>
      <c r="B3" s="488"/>
      <c r="C3" s="488"/>
      <c r="D3" s="488"/>
    </row>
    <row r="4" spans="1:4" x14ac:dyDescent="0.2">
      <c r="A4" s="489"/>
      <c r="B4" s="490"/>
      <c r="C4" s="490"/>
      <c r="D4" s="490"/>
    </row>
    <row r="5" spans="1:4" x14ac:dyDescent="0.2">
      <c r="A5" s="430" t="s">
        <v>325</v>
      </c>
      <c r="B5" s="431">
        <f>Parâmetros!$E$10</f>
        <v>2025</v>
      </c>
      <c r="C5" s="431">
        <f>B5+1</f>
        <v>2026</v>
      </c>
      <c r="D5" s="431">
        <f>C5+1</f>
        <v>2027</v>
      </c>
    </row>
    <row r="6" spans="1:4" ht="25.5" x14ac:dyDescent="0.2">
      <c r="A6" s="186" t="s">
        <v>326</v>
      </c>
      <c r="B6" s="432">
        <f>Projeções!H8</f>
        <v>32321166.701127496</v>
      </c>
      <c r="C6" s="432">
        <f>Projeções!I8</f>
        <v>37164916.994536221</v>
      </c>
      <c r="D6" s="432">
        <f>Projeções!J8</f>
        <v>41532442.245302886</v>
      </c>
    </row>
    <row r="7" spans="1:4" x14ac:dyDescent="0.2">
      <c r="A7" s="433" t="s">
        <v>327</v>
      </c>
      <c r="B7" s="434"/>
      <c r="C7" s="434"/>
      <c r="D7" s="434"/>
    </row>
    <row r="8" spans="1:4" x14ac:dyDescent="0.2">
      <c r="A8" s="187" t="s">
        <v>328</v>
      </c>
      <c r="B8" s="190">
        <f>-(Projeções!H102+Projeções!H103+Projeções!H104)</f>
        <v>4426992.2199377185</v>
      </c>
      <c r="C8" s="190">
        <f>-(Projeções!I102+Projeções!I103+Projeções!I104)</f>
        <v>5049045.1096803844</v>
      </c>
      <c r="D8" s="190">
        <f>-(Projeções!J102+Projeções!J103+Projeções!J104)</f>
        <v>5607873.9866421055</v>
      </c>
    </row>
    <row r="9" spans="1:4" x14ac:dyDescent="0.2">
      <c r="A9" s="187" t="s">
        <v>329</v>
      </c>
      <c r="B9" s="136">
        <v>0</v>
      </c>
      <c r="C9" s="435">
        <f>B9*(1+Parâmetros!F11)</f>
        <v>0</v>
      </c>
      <c r="D9" s="435">
        <f>C9*(1+Parâmetros!G11)</f>
        <v>0</v>
      </c>
    </row>
    <row r="10" spans="1:4" x14ac:dyDescent="0.2">
      <c r="A10" s="188" t="s">
        <v>330</v>
      </c>
      <c r="B10" s="432">
        <f>B6-B8-B9</f>
        <v>27894174.481189776</v>
      </c>
      <c r="C10" s="432">
        <f>C6-C8-C9</f>
        <v>32115871.884855837</v>
      </c>
      <c r="D10" s="432">
        <f>D6-D8-D9</f>
        <v>35924568.258660778</v>
      </c>
    </row>
    <row r="11" spans="1:4" ht="38.25" x14ac:dyDescent="0.2">
      <c r="A11" s="189" t="s">
        <v>331</v>
      </c>
      <c r="B11" s="435"/>
      <c r="C11" s="432">
        <f>B11*(1+Parâmetros!F11)</f>
        <v>0</v>
      </c>
      <c r="D11" s="432">
        <f>C11*(1+Parâmetros!G11)</f>
        <v>0</v>
      </c>
    </row>
    <row r="12" spans="1:4" x14ac:dyDescent="0.2">
      <c r="A12" s="188" t="s">
        <v>332</v>
      </c>
      <c r="B12" s="432">
        <f>B10-B11</f>
        <v>27894174.481189776</v>
      </c>
      <c r="C12" s="432">
        <f>C10-C11</f>
        <v>32115871.884855837</v>
      </c>
      <c r="D12" s="432">
        <f>D10-D11</f>
        <v>35924568.258660778</v>
      </c>
    </row>
    <row r="13" spans="1:4" ht="38.25" x14ac:dyDescent="0.2">
      <c r="A13" s="189" t="s">
        <v>333</v>
      </c>
      <c r="B13" s="435"/>
      <c r="C13" s="432">
        <f>B13*(1+Parâmetros!F11)</f>
        <v>0</v>
      </c>
      <c r="D13" s="432">
        <f>C13*(1+Parâmetros!G11)</f>
        <v>0</v>
      </c>
    </row>
    <row r="14" spans="1:4" x14ac:dyDescent="0.2">
      <c r="A14" s="188" t="s">
        <v>334</v>
      </c>
      <c r="B14" s="432">
        <f>B12-B13</f>
        <v>27894174.481189776</v>
      </c>
      <c r="C14" s="432">
        <f>C12-C13</f>
        <v>32115871.884855837</v>
      </c>
      <c r="D14" s="432">
        <f>D12-D13</f>
        <v>35924568.258660778</v>
      </c>
    </row>
    <row r="18" spans="1:1" x14ac:dyDescent="0.2">
      <c r="A18" s="85"/>
    </row>
  </sheetData>
  <mergeCells count="4">
    <mergeCell ref="A1:D1"/>
    <mergeCell ref="A2:D2"/>
    <mergeCell ref="A3:D3"/>
    <mergeCell ref="A4:D4"/>
  </mergeCells>
  <phoneticPr fontId="0" type="noConversion"/>
  <pageMargins left="0.511811024" right="0.511811024" top="0.78740157499999996" bottom="0.78740157499999996" header="0.31496062000000002" footer="0.31496062000000002"/>
  <pageSetup paperSize="9" orientation="portrait" verticalDpi="3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5600C-EE0B-440D-8E53-96A3031C831D}">
  <dimension ref="A1:D41"/>
  <sheetViews>
    <sheetView zoomScaleNormal="100" zoomScaleSheetLayoutView="100" workbookViewId="0">
      <selection activeCell="A4" sqref="A4"/>
    </sheetView>
  </sheetViews>
  <sheetFormatPr defaultRowHeight="12.75" x14ac:dyDescent="0.2"/>
  <cols>
    <col min="1" max="1" width="71.28515625" customWidth="1"/>
    <col min="2" max="2" width="19.140625" customWidth="1"/>
    <col min="3" max="3" width="17.7109375" customWidth="1"/>
    <col min="4" max="4" width="19.85546875" customWidth="1"/>
  </cols>
  <sheetData>
    <row r="1" spans="1:4" x14ac:dyDescent="0.2">
      <c r="A1" s="494" t="str">
        <f>Parâmetros!A7</f>
        <v>Município de :   NOVA PÁDUA</v>
      </c>
      <c r="B1" s="495"/>
      <c r="C1" s="495"/>
      <c r="D1" s="495"/>
    </row>
    <row r="2" spans="1:4" x14ac:dyDescent="0.2">
      <c r="A2" s="496" t="str">
        <f>Parâmetros!A8</f>
        <v>LEI DE DIRETRIZES ORÇAMENTÁRIAS  PARA 2025</v>
      </c>
      <c r="B2" s="496"/>
      <c r="C2" s="496"/>
      <c r="D2" s="496"/>
    </row>
    <row r="3" spans="1:4" ht="13.5" x14ac:dyDescent="0.25">
      <c r="A3" s="497" t="s">
        <v>335</v>
      </c>
      <c r="B3" s="498"/>
      <c r="C3" s="498"/>
      <c r="D3" s="498"/>
    </row>
    <row r="4" spans="1:4" ht="15" x14ac:dyDescent="0.25">
      <c r="A4" s="175"/>
      <c r="B4" s="404"/>
      <c r="C4" s="404"/>
      <c r="D4" s="404"/>
    </row>
    <row r="5" spans="1:4" x14ac:dyDescent="0.2">
      <c r="A5" s="491" t="s">
        <v>336</v>
      </c>
      <c r="B5" s="493"/>
      <c r="C5" s="493"/>
      <c r="D5" s="493"/>
    </row>
    <row r="6" spans="1:4" x14ac:dyDescent="0.2">
      <c r="A6" s="492"/>
      <c r="B6" s="176">
        <f>Parâmetros!E10</f>
        <v>2025</v>
      </c>
      <c r="C6" s="176">
        <f>Parâmetros!F10</f>
        <v>2026</v>
      </c>
      <c r="D6" s="177">
        <f>Parâmetros!G10</f>
        <v>2027</v>
      </c>
    </row>
    <row r="7" spans="1:4" x14ac:dyDescent="0.2">
      <c r="A7" s="178" t="s">
        <v>337</v>
      </c>
      <c r="B7" s="185">
        <f>RCL!B14*0.54</f>
        <v>15062854.21984248</v>
      </c>
      <c r="C7" s="185">
        <f>RCL!C14*0.54</f>
        <v>17342570.817822155</v>
      </c>
      <c r="D7" s="185">
        <f>RCL!D14*0.54</f>
        <v>19399266.859676823</v>
      </c>
    </row>
    <row r="8" spans="1:4" x14ac:dyDescent="0.2">
      <c r="A8" s="179" t="s">
        <v>338</v>
      </c>
      <c r="B8" s="185">
        <f>B7*0.95</f>
        <v>14309711.508850357</v>
      </c>
      <c r="C8" s="185">
        <f>C7*0.95</f>
        <v>16475442.276931046</v>
      </c>
      <c r="D8" s="185">
        <f>D7*0.95</f>
        <v>18429303.516692981</v>
      </c>
    </row>
    <row r="9" spans="1:4" x14ac:dyDescent="0.2">
      <c r="A9" s="178" t="s">
        <v>339</v>
      </c>
      <c r="B9" s="185">
        <f>B7*0.9</f>
        <v>13556568.797858233</v>
      </c>
      <c r="C9" s="185">
        <f>C7*0.9</f>
        <v>15608313.73603994</v>
      </c>
      <c r="D9" s="185">
        <f>D7*0.9</f>
        <v>17459340.173709143</v>
      </c>
    </row>
    <row r="10" spans="1:4" x14ac:dyDescent="0.2">
      <c r="A10" s="499"/>
      <c r="B10" s="499"/>
      <c r="C10" s="499"/>
      <c r="D10" s="499"/>
    </row>
    <row r="11" spans="1:4" x14ac:dyDescent="0.2">
      <c r="A11" s="180"/>
      <c r="B11" s="181"/>
      <c r="C11" s="181"/>
      <c r="D11" s="181"/>
    </row>
    <row r="12" spans="1:4" x14ac:dyDescent="0.2">
      <c r="A12" s="491" t="s">
        <v>340</v>
      </c>
      <c r="B12" s="493"/>
      <c r="C12" s="493"/>
      <c r="D12" s="493"/>
    </row>
    <row r="13" spans="1:4" x14ac:dyDescent="0.2">
      <c r="A13" s="492"/>
      <c r="B13" s="176">
        <f>Parâmetros!E10</f>
        <v>2025</v>
      </c>
      <c r="C13" s="176">
        <f>Parâmetros!F10</f>
        <v>2026</v>
      </c>
      <c r="D13" s="176">
        <f>Parâmetros!G10</f>
        <v>2027</v>
      </c>
    </row>
    <row r="14" spans="1:4" x14ac:dyDescent="0.2">
      <c r="A14" s="182" t="s">
        <v>341</v>
      </c>
      <c r="B14" s="185">
        <f>RCL!B14*0.06</f>
        <v>1673650.4688713865</v>
      </c>
      <c r="C14" s="185">
        <f>RCL!C14*0.06</f>
        <v>1926952.31309135</v>
      </c>
      <c r="D14" s="185">
        <f>RCL!D14*0.06</f>
        <v>2155474.0955196465</v>
      </c>
    </row>
    <row r="15" spans="1:4" x14ac:dyDescent="0.2">
      <c r="A15" s="183" t="s">
        <v>342</v>
      </c>
      <c r="B15" s="185">
        <f>B14*0.95</f>
        <v>1589967.9454278171</v>
      </c>
      <c r="C15" s="185">
        <f>C14*0.95</f>
        <v>1830604.6974367825</v>
      </c>
      <c r="D15" s="185">
        <f>D14*0.95</f>
        <v>2047700.390743664</v>
      </c>
    </row>
    <row r="16" spans="1:4" x14ac:dyDescent="0.2">
      <c r="A16" s="184" t="s">
        <v>343</v>
      </c>
      <c r="B16" s="185">
        <f>B14*0.9</f>
        <v>1506285.4219842479</v>
      </c>
      <c r="C16" s="185">
        <f>C14*0.9</f>
        <v>1734257.081782215</v>
      </c>
      <c r="D16" s="185">
        <f>D14*0.9</f>
        <v>1939926.6859676819</v>
      </c>
    </row>
    <row r="19" spans="1:1" x14ac:dyDescent="0.2">
      <c r="A19" s="43"/>
    </row>
    <row r="34" ht="0.75" customHeight="1" x14ac:dyDescent="0.2"/>
    <row r="35" ht="12.75" hidden="1" customHeight="1" x14ac:dyDescent="0.2"/>
    <row r="36" ht="12.75" hidden="1" customHeight="1" x14ac:dyDescent="0.2"/>
    <row r="37" ht="12.75" hidden="1" customHeight="1" x14ac:dyDescent="0.2"/>
    <row r="38" ht="12.75" hidden="1" customHeight="1" x14ac:dyDescent="0.2"/>
    <row r="39" ht="12.75" hidden="1" customHeight="1" x14ac:dyDescent="0.2"/>
    <row r="40" ht="12.75" hidden="1" customHeight="1" x14ac:dyDescent="0.2"/>
    <row r="41" ht="12.75" hidden="1" customHeight="1" x14ac:dyDescent="0.2"/>
  </sheetData>
  <mergeCells count="8">
    <mergeCell ref="A12:A13"/>
    <mergeCell ref="B12:D12"/>
    <mergeCell ref="A1:D1"/>
    <mergeCell ref="A2:D2"/>
    <mergeCell ref="A3:D3"/>
    <mergeCell ref="A5:A6"/>
    <mergeCell ref="B5:D5"/>
    <mergeCell ref="A10:D10"/>
  </mergeCells>
  <phoneticPr fontId="30" type="noConversion"/>
  <pageMargins left="0.511811024" right="0.511811024" top="0.78740157499999996" bottom="0.78740157499999996" header="0.31496062000000002" footer="0.31496062000000002"/>
  <pageSetup paperSize="9" scale="70" orientation="portrait" r:id="rId1"/>
  <drawing r:id="rId2"/>
  <legacyDrawing r:id="rId3"/>
  <oleObjects>
    <mc:AlternateContent xmlns:mc="http://schemas.openxmlformats.org/markup-compatibility/2006">
      <mc:Choice Requires="x14">
        <oleObject progId="Word.Document.8" shapeId="21506" r:id="rId4">
          <objectPr defaultSize="0" autoPict="0" r:id="rId5">
            <anchor moveWithCells="1">
              <from>
                <xdr:col>0</xdr:col>
                <xdr:colOff>38100</xdr:colOff>
                <xdr:row>17</xdr:row>
                <xdr:rowOff>57150</xdr:rowOff>
              </from>
              <to>
                <xdr:col>4</xdr:col>
                <xdr:colOff>9525</xdr:colOff>
                <xdr:row>44</xdr:row>
                <xdr:rowOff>66675</xdr:rowOff>
              </to>
            </anchor>
          </objectPr>
        </oleObject>
      </mc:Choice>
      <mc:Fallback>
        <oleObject progId="Word.Document.8" shapeId="21506"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7462E-28EA-4E99-877B-7FAEFF905FEE}">
  <sheetPr codeName="Plan6"/>
  <dimension ref="A1:J45"/>
  <sheetViews>
    <sheetView showGridLines="0" zoomScale="90" zoomScaleNormal="75" workbookViewId="0">
      <selection activeCell="A25" sqref="A25:G25"/>
    </sheetView>
  </sheetViews>
  <sheetFormatPr defaultColWidth="32" defaultRowHeight="12" x14ac:dyDescent="0.2"/>
  <cols>
    <col min="1" max="1" width="55.140625" style="354" customWidth="1"/>
    <col min="2" max="2" width="15.5703125" style="356" customWidth="1"/>
    <col min="3" max="3" width="16.5703125" style="380" customWidth="1"/>
    <col min="4" max="4" width="16.7109375" style="354" customWidth="1"/>
    <col min="5" max="5" width="16.28515625" style="354" customWidth="1"/>
    <col min="6" max="6" width="16.140625" style="354" customWidth="1"/>
    <col min="7" max="7" width="17" style="354" customWidth="1"/>
    <col min="8" max="18" width="13.7109375" style="354" customWidth="1"/>
    <col min="19" max="16384" width="32" style="354"/>
  </cols>
  <sheetData>
    <row r="1" spans="1:10" ht="21" x14ac:dyDescent="0.35">
      <c r="A1" s="504" t="str">
        <f>Parâmetros!A7</f>
        <v>Município de :   NOVA PÁDUA</v>
      </c>
      <c r="B1" s="505"/>
      <c r="C1" s="505"/>
      <c r="D1" s="505"/>
      <c r="E1" s="505"/>
      <c r="F1" s="505"/>
      <c r="G1" s="505"/>
      <c r="H1" s="505"/>
      <c r="I1" s="505"/>
      <c r="J1" s="506"/>
    </row>
    <row r="2" spans="1:10" ht="21" x14ac:dyDescent="0.35">
      <c r="A2" s="507" t="str">
        <f>Parâmetros!A8</f>
        <v>LEI DE DIRETRIZES ORÇAMENTÁRIAS  PARA 2025</v>
      </c>
      <c r="B2" s="505"/>
      <c r="C2" s="505"/>
      <c r="D2" s="505"/>
      <c r="E2" s="505"/>
      <c r="F2" s="505"/>
      <c r="G2" s="505"/>
      <c r="H2" s="505"/>
      <c r="I2" s="505"/>
      <c r="J2" s="506"/>
    </row>
    <row r="3" spans="1:10" ht="21" x14ac:dyDescent="0.35">
      <c r="A3" s="507" t="s">
        <v>344</v>
      </c>
      <c r="B3" s="505"/>
      <c r="C3" s="505"/>
      <c r="D3" s="505"/>
      <c r="E3" s="505"/>
      <c r="F3" s="505"/>
      <c r="G3" s="505"/>
      <c r="H3" s="505"/>
      <c r="I3" s="505"/>
      <c r="J3" s="506"/>
    </row>
    <row r="4" spans="1:10" x14ac:dyDescent="0.2">
      <c r="A4" s="355"/>
      <c r="C4" s="354"/>
    </row>
    <row r="5" spans="1:10" ht="15" x14ac:dyDescent="0.25">
      <c r="A5" s="503" t="s">
        <v>345</v>
      </c>
      <c r="B5" s="357">
        <f>Parâmetros!B10</f>
        <v>2022</v>
      </c>
      <c r="C5" s="357">
        <f>B5+1</f>
        <v>2023</v>
      </c>
      <c r="D5" s="357">
        <f>C5+1</f>
        <v>2024</v>
      </c>
      <c r="E5" s="357">
        <f>D5+1</f>
        <v>2025</v>
      </c>
      <c r="F5" s="357">
        <f>E5+1</f>
        <v>2026</v>
      </c>
      <c r="G5" s="357">
        <f>F5+1</f>
        <v>2027</v>
      </c>
    </row>
    <row r="6" spans="1:10" ht="39.75" customHeight="1" x14ac:dyDescent="0.25">
      <c r="A6" s="503"/>
      <c r="B6" s="358" t="s">
        <v>346</v>
      </c>
      <c r="C6" s="359" t="s">
        <v>346</v>
      </c>
      <c r="D6" s="359" t="s">
        <v>347</v>
      </c>
      <c r="E6" s="359" t="s">
        <v>348</v>
      </c>
      <c r="F6" s="359" t="s">
        <v>348</v>
      </c>
      <c r="G6" s="359" t="s">
        <v>348</v>
      </c>
    </row>
    <row r="7" spans="1:10" ht="21.75" customHeight="1" x14ac:dyDescent="0.25">
      <c r="A7" s="381" t="s">
        <v>349</v>
      </c>
      <c r="B7" s="382">
        <f t="shared" ref="B7:G7" si="0">B8+B9+B10</f>
        <v>933333.36</v>
      </c>
      <c r="C7" s="382">
        <f t="shared" si="0"/>
        <v>666666.72</v>
      </c>
      <c r="D7" s="382">
        <f t="shared" si="0"/>
        <v>443669.30999999994</v>
      </c>
      <c r="E7" s="382">
        <f t="shared" si="0"/>
        <v>220671.89999999994</v>
      </c>
      <c r="F7" s="382">
        <f t="shared" si="0"/>
        <v>0</v>
      </c>
      <c r="G7" s="382">
        <f t="shared" si="0"/>
        <v>0</v>
      </c>
    </row>
    <row r="8" spans="1:10" ht="22.9" customHeight="1" x14ac:dyDescent="0.25">
      <c r="A8" s="360" t="s">
        <v>350</v>
      </c>
      <c r="B8" s="362"/>
      <c r="C8" s="362"/>
      <c r="D8" s="362"/>
      <c r="E8" s="363">
        <f t="shared" ref="E8:G10" si="1">(B8+C8+D8)/3</f>
        <v>0</v>
      </c>
      <c r="F8" s="363">
        <f t="shared" si="1"/>
        <v>0</v>
      </c>
      <c r="G8" s="363">
        <f t="shared" si="1"/>
        <v>0</v>
      </c>
    </row>
    <row r="9" spans="1:10" ht="22.9" customHeight="1" x14ac:dyDescent="0.25">
      <c r="A9" s="360" t="s">
        <v>351</v>
      </c>
      <c r="B9" s="362">
        <v>933333.36</v>
      </c>
      <c r="C9" s="362">
        <v>666666.72</v>
      </c>
      <c r="D9" s="362">
        <f>C9-C22</f>
        <v>443669.30999999994</v>
      </c>
      <c r="E9" s="363">
        <f>D9-C22</f>
        <v>220671.89999999994</v>
      </c>
      <c r="F9" s="363">
        <v>0</v>
      </c>
      <c r="G9" s="363">
        <v>0</v>
      </c>
    </row>
    <row r="10" spans="1:10" ht="22.9" customHeight="1" x14ac:dyDescent="0.25">
      <c r="A10" s="360" t="s">
        <v>352</v>
      </c>
      <c r="B10" s="362">
        <v>0</v>
      </c>
      <c r="C10" s="362">
        <v>0</v>
      </c>
      <c r="D10" s="362">
        <v>0</v>
      </c>
      <c r="E10" s="363">
        <f t="shared" si="1"/>
        <v>0</v>
      </c>
      <c r="F10" s="363">
        <f t="shared" si="1"/>
        <v>0</v>
      </c>
      <c r="G10" s="363">
        <f t="shared" si="1"/>
        <v>0</v>
      </c>
    </row>
    <row r="11" spans="1:10" ht="15" x14ac:dyDescent="0.25">
      <c r="A11" s="360" t="s">
        <v>353</v>
      </c>
      <c r="B11" s="382">
        <f t="shared" ref="B11:G11" si="2">B12-B13+B14</f>
        <v>3259155.7</v>
      </c>
      <c r="C11" s="382">
        <f t="shared" si="2"/>
        <v>4240529.0799999991</v>
      </c>
      <c r="D11" s="382">
        <f t="shared" si="2"/>
        <v>3053349.67</v>
      </c>
      <c r="E11" s="361">
        <f t="shared" si="2"/>
        <v>3517678.15</v>
      </c>
      <c r="F11" s="361">
        <f t="shared" si="2"/>
        <v>3603852.3</v>
      </c>
      <c r="G11" s="361">
        <f t="shared" si="2"/>
        <v>3391626.7066666661</v>
      </c>
    </row>
    <row r="12" spans="1:10" ht="15" x14ac:dyDescent="0.25">
      <c r="A12" s="360" t="s">
        <v>354</v>
      </c>
      <c r="B12" s="362">
        <v>3292228.83</v>
      </c>
      <c r="C12" s="362">
        <v>5314470.51</v>
      </c>
      <c r="D12" s="362">
        <f>((C12+B12)/2)-1000000</f>
        <v>3303349.67</v>
      </c>
      <c r="E12" s="363">
        <f t="shared" ref="E12:G14" si="3">(B12+C12+D12)/3</f>
        <v>3970016.3366666664</v>
      </c>
      <c r="F12" s="363">
        <f t="shared" si="3"/>
        <v>4195945.5055555552</v>
      </c>
      <c r="G12" s="363">
        <f t="shared" si="3"/>
        <v>3823103.8374074069</v>
      </c>
    </row>
    <row r="13" spans="1:10" ht="15" x14ac:dyDescent="0.25">
      <c r="A13" s="360" t="s">
        <v>355</v>
      </c>
      <c r="B13" s="362">
        <v>170.5</v>
      </c>
      <c r="C13" s="362">
        <v>851176.65</v>
      </c>
      <c r="D13" s="362">
        <v>200000</v>
      </c>
      <c r="E13" s="363">
        <f t="shared" si="3"/>
        <v>350449.05</v>
      </c>
      <c r="F13" s="363">
        <f t="shared" si="3"/>
        <v>467208.56666666665</v>
      </c>
      <c r="G13" s="363">
        <f t="shared" si="3"/>
        <v>339219.20555555559</v>
      </c>
    </row>
    <row r="14" spans="1:10" ht="15" x14ac:dyDescent="0.25">
      <c r="A14" s="360" t="s">
        <v>627</v>
      </c>
      <c r="B14" s="362">
        <v>-32902.629999999997</v>
      </c>
      <c r="C14" s="362">
        <v>-222764.78</v>
      </c>
      <c r="D14" s="362">
        <v>-50000</v>
      </c>
      <c r="E14" s="363">
        <f t="shared" si="3"/>
        <v>-101889.13666666667</v>
      </c>
      <c r="F14" s="363">
        <f t="shared" si="3"/>
        <v>-124884.63888888889</v>
      </c>
      <c r="G14" s="363">
        <f t="shared" si="3"/>
        <v>-92257.925185185173</v>
      </c>
    </row>
    <row r="15" spans="1:10" ht="20.25" customHeight="1" x14ac:dyDescent="0.25">
      <c r="A15" s="360" t="s">
        <v>356</v>
      </c>
      <c r="B15" s="364">
        <f t="shared" ref="B15:G15" si="4">B7-B11</f>
        <v>-2325822.3400000003</v>
      </c>
      <c r="C15" s="364">
        <f t="shared" si="4"/>
        <v>-3573862.3599999994</v>
      </c>
      <c r="D15" s="364">
        <f t="shared" si="4"/>
        <v>-2609680.36</v>
      </c>
      <c r="E15" s="364">
        <f t="shared" si="4"/>
        <v>-3297006.25</v>
      </c>
      <c r="F15" s="364">
        <f t="shared" si="4"/>
        <v>-3603852.3</v>
      </c>
      <c r="G15" s="364">
        <f t="shared" si="4"/>
        <v>-3391626.7066666661</v>
      </c>
    </row>
    <row r="16" spans="1:10" ht="20.25" customHeight="1" x14ac:dyDescent="0.25">
      <c r="A16" s="508" t="s">
        <v>357</v>
      </c>
      <c r="B16" s="509"/>
      <c r="C16" s="509"/>
      <c r="D16" s="510"/>
      <c r="E16" s="365">
        <f>E15/RCL!B12</f>
        <v>-0.11819694654248725</v>
      </c>
      <c r="F16" s="365">
        <f>F15/RCL!C12</f>
        <v>-0.11221405767593026</v>
      </c>
      <c r="G16" s="365">
        <f>G15/RCL!D12</f>
        <v>-9.440967201739453E-2</v>
      </c>
    </row>
    <row r="17" spans="1:7" s="368" customFormat="1" ht="15" x14ac:dyDescent="0.25">
      <c r="A17" s="366"/>
      <c r="B17" s="367"/>
      <c r="C17" s="367"/>
      <c r="D17" s="367"/>
      <c r="E17" s="367"/>
      <c r="F17" s="367"/>
      <c r="G17" s="367"/>
    </row>
    <row r="18" spans="1:7" ht="15" x14ac:dyDescent="0.25">
      <c r="A18" s="369" t="s">
        <v>358</v>
      </c>
      <c r="B18" s="370"/>
      <c r="C18" s="371"/>
      <c r="D18" s="371"/>
      <c r="E18" s="371"/>
      <c r="F18" s="371"/>
      <c r="G18" s="372" t="s">
        <v>359</v>
      </c>
    </row>
    <row r="19" spans="1:7" ht="15" x14ac:dyDescent="0.25">
      <c r="A19" s="503" t="s">
        <v>360</v>
      </c>
      <c r="B19" s="357">
        <f>Parâmetros!B10</f>
        <v>2022</v>
      </c>
      <c r="C19" s="357">
        <f>B19+1</f>
        <v>2023</v>
      </c>
      <c r="D19" s="357">
        <f>C19+1</f>
        <v>2024</v>
      </c>
      <c r="E19" s="357">
        <f>D19+1</f>
        <v>2025</v>
      </c>
      <c r="F19" s="357">
        <f>E19+1</f>
        <v>2026</v>
      </c>
      <c r="G19" s="357">
        <f>F19+1</f>
        <v>2027</v>
      </c>
    </row>
    <row r="20" spans="1:7" ht="15" x14ac:dyDescent="0.25">
      <c r="A20" s="503"/>
      <c r="B20" s="357" t="s">
        <v>361</v>
      </c>
      <c r="C20" s="373" t="s">
        <v>361</v>
      </c>
      <c r="D20" s="373" t="s">
        <v>347</v>
      </c>
      <c r="E20" s="373" t="s">
        <v>362</v>
      </c>
      <c r="F20" s="373" t="s">
        <v>362</v>
      </c>
      <c r="G20" s="373" t="s">
        <v>362</v>
      </c>
    </row>
    <row r="21" spans="1:7" ht="15" x14ac:dyDescent="0.25">
      <c r="A21" s="374" t="s">
        <v>363</v>
      </c>
      <c r="B21" s="375">
        <v>227000</v>
      </c>
      <c r="C21" s="375">
        <f>Projeções!F77</f>
        <v>0</v>
      </c>
      <c r="D21" s="375">
        <f>Projeções!G77</f>
        <v>0</v>
      </c>
      <c r="E21" s="376"/>
      <c r="F21" s="376"/>
      <c r="G21" s="376">
        <v>0</v>
      </c>
    </row>
    <row r="22" spans="1:7" ht="15" x14ac:dyDescent="0.25">
      <c r="A22" s="360" t="s">
        <v>364</v>
      </c>
      <c r="B22" s="364">
        <v>262283.51</v>
      </c>
      <c r="C22" s="364">
        <f>Projeções!F121</f>
        <v>222997.41</v>
      </c>
      <c r="D22" s="364">
        <f>Projeções!G121</f>
        <v>222997.41</v>
      </c>
      <c r="E22" s="364">
        <f>Projeções!H121</f>
        <v>176014.44248295604</v>
      </c>
      <c r="F22" s="364">
        <v>0</v>
      </c>
      <c r="G22" s="364">
        <v>0</v>
      </c>
    </row>
    <row r="23" spans="1:7" ht="15" x14ac:dyDescent="0.25">
      <c r="A23" s="360" t="s">
        <v>365</v>
      </c>
      <c r="B23" s="364">
        <v>266666.64</v>
      </c>
      <c r="C23" s="364">
        <f>Projeções!F143</f>
        <v>266666.64</v>
      </c>
      <c r="D23" s="364">
        <f>Projeções!G143</f>
        <v>266666.64</v>
      </c>
      <c r="E23" s="364">
        <f>Projeções!H143</f>
        <v>266666.64</v>
      </c>
      <c r="F23" s="364">
        <v>0</v>
      </c>
      <c r="G23" s="364">
        <f>Projeções!J143</f>
        <v>0</v>
      </c>
    </row>
    <row r="24" spans="1:7" ht="15.75" hidden="1" customHeight="1" x14ac:dyDescent="0.25">
      <c r="A24" s="377" t="s">
        <v>366</v>
      </c>
      <c r="B24" s="378"/>
      <c r="C24" s="378"/>
      <c r="D24" s="378"/>
      <c r="E24" s="378"/>
      <c r="F24" s="378"/>
      <c r="G24" s="378"/>
    </row>
    <row r="25" spans="1:7" ht="12.75" x14ac:dyDescent="0.2">
      <c r="A25" s="500" t="s">
        <v>626</v>
      </c>
      <c r="B25" s="501"/>
      <c r="C25" s="501"/>
      <c r="D25" s="501"/>
      <c r="E25" s="501"/>
      <c r="F25" s="501"/>
      <c r="G25" s="502"/>
    </row>
    <row r="26" spans="1:7" x14ac:dyDescent="0.2">
      <c r="A26" s="355"/>
      <c r="C26" s="354"/>
    </row>
    <row r="27" spans="1:7" x14ac:dyDescent="0.2">
      <c r="A27" s="355"/>
      <c r="C27" s="354"/>
    </row>
    <row r="28" spans="1:7" x14ac:dyDescent="0.2">
      <c r="A28" s="355"/>
      <c r="C28" s="354"/>
    </row>
    <row r="29" spans="1:7" x14ac:dyDescent="0.2">
      <c r="A29" s="355"/>
      <c r="C29" s="354"/>
    </row>
    <row r="30" spans="1:7" x14ac:dyDescent="0.2">
      <c r="A30" s="355"/>
      <c r="C30" s="354"/>
    </row>
    <row r="31" spans="1:7" x14ac:dyDescent="0.2">
      <c r="A31" s="355"/>
      <c r="C31" s="354"/>
    </row>
    <row r="32" spans="1:7" x14ac:dyDescent="0.2">
      <c r="A32" s="379"/>
    </row>
    <row r="33" spans="1:1" x14ac:dyDescent="0.2">
      <c r="A33" s="379"/>
    </row>
    <row r="34" spans="1:1" x14ac:dyDescent="0.2">
      <c r="A34" s="379"/>
    </row>
    <row r="35" spans="1:1" x14ac:dyDescent="0.2">
      <c r="A35" s="379"/>
    </row>
    <row r="36" spans="1:1" x14ac:dyDescent="0.2">
      <c r="A36" s="379"/>
    </row>
    <row r="37" spans="1:1" x14ac:dyDescent="0.2">
      <c r="A37" s="379"/>
    </row>
    <row r="38" spans="1:1" x14ac:dyDescent="0.2">
      <c r="A38" s="379"/>
    </row>
    <row r="39" spans="1:1" x14ac:dyDescent="0.2">
      <c r="A39" s="379"/>
    </row>
    <row r="40" spans="1:1" x14ac:dyDescent="0.2">
      <c r="A40" s="379"/>
    </row>
    <row r="41" spans="1:1" x14ac:dyDescent="0.2">
      <c r="A41" s="379"/>
    </row>
    <row r="42" spans="1:1" x14ac:dyDescent="0.2">
      <c r="A42" s="379"/>
    </row>
    <row r="43" spans="1:1" x14ac:dyDescent="0.2">
      <c r="A43" s="379"/>
    </row>
    <row r="44" spans="1:1" x14ac:dyDescent="0.2">
      <c r="A44" s="379"/>
    </row>
    <row r="45" spans="1:1" x14ac:dyDescent="0.2">
      <c r="A45" s="379"/>
    </row>
  </sheetData>
  <customSheetViews>
    <customSheetView guid="{16B3F100-CCE8-11D8-BD62-000C6E3CD3F1}" scale="75" showGridLines="0" hiddenRows="1" showRuler="0" topLeftCell="A25">
      <selection activeCell="E36" sqref="E36"/>
      <pageMargins left="0" right="0" top="0" bottom="0" header="0" footer="0"/>
      <pageSetup orientation="portrait" horizontalDpi="200" verticalDpi="200" r:id="rId1"/>
      <headerFooter alignWithMargins="0"/>
    </customSheetView>
  </customSheetViews>
  <mergeCells count="7">
    <mergeCell ref="A25:G25"/>
    <mergeCell ref="A19:A20"/>
    <mergeCell ref="A1:J1"/>
    <mergeCell ref="A2:J2"/>
    <mergeCell ref="A3:J3"/>
    <mergeCell ref="A5:A6"/>
    <mergeCell ref="A16:D16"/>
  </mergeCells>
  <phoneticPr fontId="21" type="noConversion"/>
  <pageMargins left="0.78740157499999996" right="0.78740157499999996" top="0.984251969" bottom="0.984251969" header="0.49212598499999999" footer="0.49212598499999999"/>
  <pageSetup scale="61" orientation="portrait" horizontalDpi="200" verticalDpi="200"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6F0AC-9505-49A1-8AC6-6732C9E6331A}">
  <dimension ref="A1:M39"/>
  <sheetViews>
    <sheetView topLeftCell="A32" workbookViewId="0">
      <selection activeCell="F27" sqref="F27"/>
    </sheetView>
  </sheetViews>
  <sheetFormatPr defaultRowHeight="12.75" x14ac:dyDescent="0.2"/>
  <cols>
    <col min="1" max="1" width="54" style="135" customWidth="1"/>
    <col min="2" max="2" width="13.140625" style="135" customWidth="1"/>
    <col min="3" max="3" width="13.42578125" style="135" customWidth="1"/>
    <col min="4" max="4" width="6.140625" style="171" customWidth="1"/>
    <col min="5" max="5" width="8.28515625" style="135" customWidth="1"/>
    <col min="6" max="7" width="12.28515625" style="135" bestFit="1" customWidth="1"/>
    <col min="8" max="8" width="6" style="171" customWidth="1"/>
    <col min="9" max="9" width="10.7109375" style="135" customWidth="1"/>
    <col min="10" max="11" width="12.28515625" style="135" bestFit="1" customWidth="1"/>
    <col min="12" max="12" width="5.7109375" style="171" customWidth="1"/>
    <col min="13" max="13" width="10" style="135" customWidth="1"/>
    <col min="14" max="16384" width="9.140625" style="135"/>
  </cols>
  <sheetData>
    <row r="1" spans="1:13" x14ac:dyDescent="0.2">
      <c r="A1" s="534" t="str">
        <f>Parâmetros!A7</f>
        <v>Município de :   NOVA PÁDUA</v>
      </c>
      <c r="B1" s="535"/>
      <c r="C1" s="535"/>
      <c r="D1" s="535"/>
      <c r="E1" s="535"/>
      <c r="F1" s="535"/>
      <c r="G1" s="535"/>
      <c r="H1" s="535"/>
      <c r="I1" s="535"/>
      <c r="J1" s="535"/>
      <c r="K1" s="535"/>
      <c r="L1" s="536"/>
    </row>
    <row r="2" spans="1:13" x14ac:dyDescent="0.2">
      <c r="A2" s="537" t="s">
        <v>368</v>
      </c>
      <c r="B2" s="535"/>
      <c r="C2" s="535"/>
      <c r="D2" s="535"/>
      <c r="E2" s="535"/>
      <c r="F2" s="535"/>
      <c r="G2" s="535"/>
      <c r="H2" s="535"/>
      <c r="I2" s="535"/>
      <c r="J2" s="535"/>
      <c r="K2" s="535"/>
      <c r="L2" s="536"/>
    </row>
    <row r="3" spans="1:13" x14ac:dyDescent="0.2">
      <c r="A3" s="537" t="s">
        <v>369</v>
      </c>
      <c r="B3" s="535"/>
      <c r="C3" s="535"/>
      <c r="D3" s="535"/>
      <c r="E3" s="535"/>
      <c r="F3" s="535"/>
      <c r="G3" s="535"/>
      <c r="H3" s="535"/>
      <c r="I3" s="535"/>
      <c r="J3" s="535"/>
      <c r="K3" s="535"/>
      <c r="L3" s="536"/>
    </row>
    <row r="4" spans="1:13" x14ac:dyDescent="0.2">
      <c r="A4" s="537" t="s">
        <v>370</v>
      </c>
      <c r="B4" s="535"/>
      <c r="C4" s="535"/>
      <c r="D4" s="535"/>
      <c r="E4" s="535"/>
      <c r="F4" s="535"/>
      <c r="G4" s="535"/>
      <c r="H4" s="535"/>
      <c r="I4" s="535"/>
      <c r="J4" s="535"/>
      <c r="K4" s="535"/>
      <c r="L4" s="536"/>
    </row>
    <row r="5" spans="1:13" x14ac:dyDescent="0.2">
      <c r="A5" s="537">
        <f>Parâmetros!E10</f>
        <v>2025</v>
      </c>
      <c r="B5" s="535"/>
      <c r="C5" s="535"/>
      <c r="D5" s="535"/>
      <c r="E5" s="535"/>
      <c r="F5" s="535"/>
      <c r="G5" s="535"/>
      <c r="H5" s="535"/>
      <c r="I5" s="535"/>
      <c r="J5" s="535"/>
      <c r="K5" s="535"/>
      <c r="L5" s="536"/>
    </row>
    <row r="6" spans="1:13" x14ac:dyDescent="0.2">
      <c r="A6" s="523" t="s">
        <v>371</v>
      </c>
      <c r="B6" s="524"/>
      <c r="C6" s="524"/>
      <c r="D6" s="524"/>
      <c r="E6" s="524"/>
      <c r="F6" s="524"/>
      <c r="G6" s="524"/>
      <c r="H6" s="525"/>
      <c r="I6" s="405"/>
      <c r="J6" s="526">
        <v>1</v>
      </c>
      <c r="K6" s="527"/>
      <c r="L6" s="527"/>
      <c r="M6" s="527"/>
    </row>
    <row r="7" spans="1:13" s="221" customFormat="1" ht="15.75" customHeight="1" x14ac:dyDescent="0.2">
      <c r="A7" s="531" t="s">
        <v>325</v>
      </c>
      <c r="B7" s="528">
        <f>Parâmetros!E10</f>
        <v>2025</v>
      </c>
      <c r="C7" s="529"/>
      <c r="D7" s="529"/>
      <c r="E7" s="530"/>
      <c r="F7" s="528">
        <f>B7+1</f>
        <v>2026</v>
      </c>
      <c r="G7" s="529"/>
      <c r="H7" s="529"/>
      <c r="I7" s="530"/>
      <c r="J7" s="528">
        <f>F7+1</f>
        <v>2027</v>
      </c>
      <c r="K7" s="529"/>
      <c r="L7" s="529"/>
      <c r="M7" s="530"/>
    </row>
    <row r="8" spans="1:13" x14ac:dyDescent="0.2">
      <c r="A8" s="532"/>
      <c r="B8" s="191" t="s">
        <v>372</v>
      </c>
      <c r="C8" s="192" t="s">
        <v>372</v>
      </c>
      <c r="D8" s="193" t="s">
        <v>373</v>
      </c>
      <c r="E8" s="192" t="s">
        <v>374</v>
      </c>
      <c r="F8" s="192" t="s">
        <v>372</v>
      </c>
      <c r="G8" s="192" t="s">
        <v>372</v>
      </c>
      <c r="H8" s="193" t="s">
        <v>373</v>
      </c>
      <c r="I8" s="192" t="s">
        <v>374</v>
      </c>
      <c r="J8" s="192" t="s">
        <v>372</v>
      </c>
      <c r="K8" s="192" t="s">
        <v>372</v>
      </c>
      <c r="L8" s="194" t="s">
        <v>373</v>
      </c>
      <c r="M8" s="195" t="s">
        <v>374</v>
      </c>
    </row>
    <row r="9" spans="1:13" ht="18.75" customHeight="1" x14ac:dyDescent="0.2">
      <c r="A9" s="532"/>
      <c r="B9" s="196" t="s">
        <v>375</v>
      </c>
      <c r="C9" s="197" t="s">
        <v>376</v>
      </c>
      <c r="D9" s="198" t="s">
        <v>377</v>
      </c>
      <c r="E9" s="197" t="s">
        <v>378</v>
      </c>
      <c r="F9" s="197" t="s">
        <v>375</v>
      </c>
      <c r="G9" s="197" t="s">
        <v>376</v>
      </c>
      <c r="H9" s="198" t="s">
        <v>379</v>
      </c>
      <c r="I9" s="197" t="s">
        <v>380</v>
      </c>
      <c r="J9" s="197" t="s">
        <v>375</v>
      </c>
      <c r="K9" s="197" t="s">
        <v>376</v>
      </c>
      <c r="L9" s="199" t="s">
        <v>381</v>
      </c>
      <c r="M9" s="196" t="s">
        <v>382</v>
      </c>
    </row>
    <row r="10" spans="1:13" x14ac:dyDescent="0.2">
      <c r="A10" s="533"/>
      <c r="B10" s="200" t="s">
        <v>383</v>
      </c>
      <c r="C10" s="201"/>
      <c r="D10" s="202" t="s">
        <v>384</v>
      </c>
      <c r="E10" s="203" t="s">
        <v>384</v>
      </c>
      <c r="F10" s="204" t="s">
        <v>385</v>
      </c>
      <c r="G10" s="201"/>
      <c r="H10" s="202" t="s">
        <v>384</v>
      </c>
      <c r="I10" s="203" t="s">
        <v>384</v>
      </c>
      <c r="J10" s="204" t="s">
        <v>386</v>
      </c>
      <c r="K10" s="201"/>
      <c r="L10" s="205" t="s">
        <v>384</v>
      </c>
      <c r="M10" s="206" t="s">
        <v>384</v>
      </c>
    </row>
    <row r="11" spans="1:13" x14ac:dyDescent="0.2">
      <c r="A11" s="216" t="s">
        <v>387</v>
      </c>
      <c r="B11" s="214">
        <f>Projeções!H107</f>
        <v>28373000.003743801</v>
      </c>
      <c r="C11" s="393">
        <f>B11/(1+Parâmetros!E11)</f>
        <v>27281730.772830576</v>
      </c>
      <c r="D11" s="514" t="s">
        <v>388</v>
      </c>
      <c r="E11" s="209">
        <f>B11/RCL!B12</f>
        <v>1.0171657893255424</v>
      </c>
      <c r="F11" s="214">
        <f>Projeções!I107</f>
        <v>32620624.071448021</v>
      </c>
      <c r="G11" s="393">
        <f>F11/((1+Parâmetros!E11)*(1+Parâmetros!F11))</f>
        <v>30159600.657773685</v>
      </c>
      <c r="H11" s="514" t="s">
        <v>388</v>
      </c>
      <c r="I11" s="209">
        <f>F11/RCL!C12</f>
        <v>1.0157165960931049</v>
      </c>
      <c r="J11" s="214">
        <f>Projeções!J107</f>
        <v>36456696.013355322</v>
      </c>
      <c r="K11" s="393">
        <f>J11/((1+Parâmetros!E11)*(1+Parâmetros!F11)*(1+Parâmetros!G11))</f>
        <v>32409870.005045339</v>
      </c>
      <c r="L11" s="514" t="s">
        <v>388</v>
      </c>
      <c r="M11" s="209">
        <f>J11/RCL!D12</f>
        <v>1.0148123632513317</v>
      </c>
    </row>
    <row r="12" spans="1:13" x14ac:dyDescent="0.2">
      <c r="A12" s="216" t="s">
        <v>389</v>
      </c>
      <c r="B12" s="214">
        <f>B13+B17</f>
        <v>27928995.526596829</v>
      </c>
      <c r="C12" s="215">
        <f>C13+C17</f>
        <v>29890025.318975888</v>
      </c>
      <c r="D12" s="515"/>
      <c r="E12" s="212">
        <f>B12/RCL!B12</f>
        <v>1.0012483267942034</v>
      </c>
      <c r="F12" s="214">
        <f>F13+F17</f>
        <v>32150924.884813096</v>
      </c>
      <c r="G12" s="215">
        <f>F12/((1+Parâmetros!E11)*(1+Parâmetros!F11))</f>
        <v>29725337.356520981</v>
      </c>
      <c r="H12" s="515"/>
      <c r="I12" s="212">
        <f>F12/RCL!C12</f>
        <v>1.0010914540973053</v>
      </c>
      <c r="J12" s="214">
        <f>J13+J17</f>
        <v>35959791.909404479</v>
      </c>
      <c r="K12" s="215">
        <f>K13+K17</f>
        <v>31968124.066024408</v>
      </c>
      <c r="L12" s="515"/>
      <c r="M12" s="212">
        <f>J12/RCL!D12</f>
        <v>1.0009804891875134</v>
      </c>
    </row>
    <row r="13" spans="1:13" x14ac:dyDescent="0.2">
      <c r="A13" s="213" t="s">
        <v>390</v>
      </c>
      <c r="B13" s="214">
        <f>B14+B15+B16</f>
        <v>27512706.673397772</v>
      </c>
      <c r="C13" s="215">
        <f>C14+C18</f>
        <v>29489747.575515259</v>
      </c>
      <c r="D13" s="515"/>
      <c r="E13" s="212">
        <f>B13/RCL!B12</f>
        <v>0.98632446326564549</v>
      </c>
      <c r="F13" s="214">
        <f>F14+F15+F16</f>
        <v>31711210.834350079</v>
      </c>
      <c r="G13" s="215">
        <f>G14+G15+G16</f>
        <v>29318796.999214195</v>
      </c>
      <c r="H13" s="515"/>
      <c r="I13" s="212">
        <f>F13/RCL!C12</f>
        <v>0.98739996684640607</v>
      </c>
      <c r="J13" s="214">
        <f>J14+J15+J16</f>
        <v>35495303.816284269</v>
      </c>
      <c r="K13" s="215">
        <f>K14+K15+K16</f>
        <v>31555195.842594545</v>
      </c>
      <c r="L13" s="515"/>
      <c r="M13" s="212">
        <f>J13/RCL!D12</f>
        <v>0.98805095055601622</v>
      </c>
    </row>
    <row r="14" spans="1:13" x14ac:dyDescent="0.2">
      <c r="A14" s="213" t="s">
        <v>391</v>
      </c>
      <c r="B14" s="214">
        <f>Projeções!H9+Projeções!H102</f>
        <v>2496337.4811026859</v>
      </c>
      <c r="C14" s="215">
        <f>B14/(1+Parâmetros!E11)</f>
        <v>2400324.5010602749</v>
      </c>
      <c r="D14" s="515"/>
      <c r="E14" s="212">
        <f>B14/RCL!B12</f>
        <v>8.9493147853723795E-2</v>
      </c>
      <c r="F14" s="214">
        <f>Projeções!I9+Projeções!I102</f>
        <v>3228328.8172397376</v>
      </c>
      <c r="G14" s="215">
        <f>F14/((1+Parâmetros!E11)*(1+Parâmetros!F11))</f>
        <v>2984771.4656432481</v>
      </c>
      <c r="H14" s="515"/>
      <c r="I14" s="212">
        <f>F14/RCL!C12</f>
        <v>0.10052128831545279</v>
      </c>
      <c r="J14" s="214">
        <f>Projeções!J9+Projeções!J102</f>
        <v>3831789.6653724588</v>
      </c>
      <c r="K14" s="215">
        <f>J14/((1+Parâmetros!E11)*(1+Parâmetros!F11)*(1+Parâmetros!G11))</f>
        <v>3406447.059708959</v>
      </c>
      <c r="L14" s="515"/>
      <c r="M14" s="212">
        <f>J14/RCL!D12</f>
        <v>0.10666209368984364</v>
      </c>
    </row>
    <row r="15" spans="1:13" x14ac:dyDescent="0.2">
      <c r="A15" s="213" t="s">
        <v>392</v>
      </c>
      <c r="B15" s="214">
        <f>Projeções!H37+Projeções!H103</f>
        <v>23835374.668420941</v>
      </c>
      <c r="C15" s="215">
        <f>B15/(1+Parâmetros!E11)</f>
        <v>22918629.488866288</v>
      </c>
      <c r="D15" s="515"/>
      <c r="E15" s="212">
        <f>B15/RCL!B12</f>
        <v>0.85449292233022145</v>
      </c>
      <c r="F15" s="214">
        <f>Projeções!I37+Projeções!I103</f>
        <v>27232350.68332782</v>
      </c>
      <c r="G15" s="215">
        <f>F15/((1+Parâmetros!E11)*(1+Parâmetros!F11))</f>
        <v>25177839.019348942</v>
      </c>
      <c r="H15" s="515"/>
      <c r="I15" s="212">
        <f>F15/RCL!C12</f>
        <v>0.84794056910437388</v>
      </c>
      <c r="J15" s="214">
        <f>Projeções!J37+Projeções!J103</f>
        <v>30339308.875464201</v>
      </c>
      <c r="K15" s="215">
        <f>J15/((1+Parâmetros!E11)*(1+Parâmetros!F11)*(1+Parâmetros!G11))</f>
        <v>26971535.114879843</v>
      </c>
      <c r="L15" s="515"/>
      <c r="M15" s="212">
        <f>J15/RCL!D12</f>
        <v>0.84452814177244651</v>
      </c>
    </row>
    <row r="16" spans="1:13" x14ac:dyDescent="0.2">
      <c r="A16" s="213" t="s">
        <v>393</v>
      </c>
      <c r="B16" s="214">
        <f>(Projeções!H8+Projeções!H95+Projeções!H102+Projeções!H103+Projeções!H104)-Projeções!H24-Projeções!H35-Projeções!H68-Projeções!H74-Projeções!H97-B14-B15</f>
        <v>1180994.523874145</v>
      </c>
      <c r="C16" s="215">
        <f>B16/(1+Parâmetros!E11)</f>
        <v>1135571.6575712932</v>
      </c>
      <c r="D16" s="515"/>
      <c r="E16" s="212">
        <f>B16/RCL!B12</f>
        <v>4.2338393081700253E-2</v>
      </c>
      <c r="F16" s="214">
        <f>(Projeções!I8+Projeções!I95+Projeções!I102+Projeções!I103+Projeções!I104)-Projeções!I24-Projeções!I35-Projeções!I68-Projeções!I74-Projeções!I97-F14-F15</f>
        <v>1250531.3337825201</v>
      </c>
      <c r="G16" s="215">
        <f>F16/((1+Parâmetros!E11)*(1+Parâmetros!F11))</f>
        <v>1156186.5142220045</v>
      </c>
      <c r="H16" s="515"/>
      <c r="I16" s="212">
        <f>F16/RCL!C12</f>
        <v>3.8938109426579361E-2</v>
      </c>
      <c r="J16" s="214">
        <f>(Projeções!J8+Projeções!J95+Projeções!J102+Projeções!J103+Projeções!J104)-Projeções!J24-Projeções!J35-Projeções!J68-Projeções!J74-Projeções!J97-J14-J15</f>
        <v>1324205.2754476108</v>
      </c>
      <c r="K16" s="215">
        <f>J16/((1+Parâmetros!E11)*(1+Parâmetros!F11)*(1+Parâmetros!G11))</f>
        <v>1177213.6680057417</v>
      </c>
      <c r="L16" s="515"/>
      <c r="M16" s="212">
        <f>J16/RCL!D12</f>
        <v>3.6860715093726099E-2</v>
      </c>
    </row>
    <row r="17" spans="1:13" x14ac:dyDescent="0.2">
      <c r="A17" s="213" t="s">
        <v>394</v>
      </c>
      <c r="B17" s="214">
        <f>Projeções!H76+Projeções!H98+Projeções!H105-Projeções!H77-Projeções!H79-Projeções!H80-Projeções!H83-Projeções!H94-Projeções!H100</f>
        <v>416288.85319905594</v>
      </c>
      <c r="C17" s="215">
        <f>B17/(1+Parâmetros!E11)</f>
        <v>400277.74346063071</v>
      </c>
      <c r="D17" s="515"/>
      <c r="E17" s="212">
        <f>B17/RCL!B12</f>
        <v>1.4923863528557806E-2</v>
      </c>
      <c r="F17" s="214">
        <f>Projeções!I76+Projeções!I98+Projeções!I105-Projeções!I77-Projeções!I79-Projeções!I80-Projeções!I83-Projeções!I94-Projeções!I100</f>
        <v>439714.05046301824</v>
      </c>
      <c r="G17" s="215">
        <f>F17/((1+Parâmetros!E11)*(1+Parâmetros!F11))</f>
        <v>406540.35730678454</v>
      </c>
      <c r="H17" s="515"/>
      <c r="I17" s="212">
        <f>F17/RCL!C12</f>
        <v>1.3691487250899277E-2</v>
      </c>
      <c r="J17" s="214">
        <f>Projeções!J76+Projeções!J98+Projeções!J105-Projeções!J77-Projeções!J79-Projeções!J80-Projeções!J83-Projeções!J94-Projeções!J100</f>
        <v>464488.09312020772</v>
      </c>
      <c r="K17" s="215">
        <f>J17/((1+Parâmetros!E11)*(1+Parâmetros!F11)*(1+Parâmetros!G11))</f>
        <v>412928.22342986148</v>
      </c>
      <c r="L17" s="515"/>
      <c r="M17" s="212">
        <f>J17/RCL!D12</f>
        <v>1.2929538631497064E-2</v>
      </c>
    </row>
    <row r="18" spans="1:13" x14ac:dyDescent="0.2">
      <c r="A18" s="216" t="s">
        <v>395</v>
      </c>
      <c r="B18" s="214">
        <f>Projeções!H148</f>
        <v>28172999.997433186</v>
      </c>
      <c r="C18" s="215">
        <f>B18/(1+Parâmetros!E11)</f>
        <v>27089423.074454986</v>
      </c>
      <c r="D18" s="515"/>
      <c r="E18" s="212">
        <f>B18/RCL!B12</f>
        <v>1.0099958332314667</v>
      </c>
      <c r="F18" s="214">
        <f>Projeções!I148</f>
        <v>33176469.604201674</v>
      </c>
      <c r="G18" s="215">
        <f>F18/((1+Parâmetros!E11)*(1+Parâmetros!F11))</f>
        <v>30673511.098559238</v>
      </c>
      <c r="H18" s="515"/>
      <c r="I18" s="212">
        <f>F18/RCL!C12</f>
        <v>1.0330240985874015</v>
      </c>
      <c r="J18" s="214">
        <f>Projeções!J148</f>
        <v>38001067.445162117</v>
      </c>
      <c r="K18" s="215">
        <f>J18/((1+Parâmetros!E11)*(1+Parâmetros!F11)*(1+Parâmetros!G11))</f>
        <v>33782810.584356964</v>
      </c>
      <c r="L18" s="515"/>
      <c r="M18" s="212">
        <f>J18/RCL!D12</f>
        <v>1.0578016462591928</v>
      </c>
    </row>
    <row r="19" spans="1:13" x14ac:dyDescent="0.2">
      <c r="A19" s="216" t="s">
        <v>396</v>
      </c>
      <c r="B19" s="214">
        <f>B20+B23+B24</f>
        <v>27730318.914950229</v>
      </c>
      <c r="C19" s="215">
        <f>C20+C23+C24</f>
        <v>26663768.187452145</v>
      </c>
      <c r="D19" s="515"/>
      <c r="E19" s="212">
        <f>B19/RCL!B12</f>
        <v>0.99412581410681133</v>
      </c>
      <c r="F19" s="214">
        <f>F20+F23+F24</f>
        <v>32806836.101895258</v>
      </c>
      <c r="G19" s="215">
        <f>G20+G23+G24</f>
        <v>30331764.147462327</v>
      </c>
      <c r="H19" s="515"/>
      <c r="I19" s="212">
        <f>F19/RCL!C12</f>
        <v>1.0215147270333098</v>
      </c>
      <c r="J19" s="214">
        <f>J20+J23+J24</f>
        <v>37792424.325403884</v>
      </c>
      <c r="K19" s="215">
        <f>K20+K23+K24</f>
        <v>33597327.610630162</v>
      </c>
      <c r="L19" s="515"/>
      <c r="M19" s="212">
        <f>J19/RCL!D12</f>
        <v>1.0519938347844389</v>
      </c>
    </row>
    <row r="20" spans="1:13" x14ac:dyDescent="0.2">
      <c r="A20" s="213" t="s">
        <v>397</v>
      </c>
      <c r="B20" s="214">
        <f>B21+B22</f>
        <v>23578048.790386237</v>
      </c>
      <c r="C20" s="215">
        <f>C21+C22</f>
        <v>22671200.759986766</v>
      </c>
      <c r="D20" s="515"/>
      <c r="E20" s="212">
        <f>B20/RCL!B12</f>
        <v>0.84526784638440955</v>
      </c>
      <c r="F20" s="214">
        <f>F21+F22</f>
        <v>28479895.596629642</v>
      </c>
      <c r="G20" s="215">
        <f>G21+G22</f>
        <v>26331264.419960834</v>
      </c>
      <c r="H20" s="515"/>
      <c r="I20" s="212">
        <f>F20/RCL!C12</f>
        <v>0.88678568960350312</v>
      </c>
      <c r="J20" s="214">
        <f>J21+J22</f>
        <v>32591819.546634771</v>
      </c>
      <c r="K20" s="215">
        <f>K21+K22</f>
        <v>28974008.899417859</v>
      </c>
      <c r="L20" s="515"/>
      <c r="M20" s="212">
        <f>J20/RCL!D12</f>
        <v>0.9072292619349005</v>
      </c>
    </row>
    <row r="21" spans="1:13" x14ac:dyDescent="0.2">
      <c r="A21" s="213" t="s">
        <v>398</v>
      </c>
      <c r="B21" s="215">
        <f>Projeções!H116-Projeções!H119</f>
        <v>10760716.953179292</v>
      </c>
      <c r="C21" s="215">
        <f>B21/(1+Parâmetros!E11)</f>
        <v>10346843.224210858</v>
      </c>
      <c r="D21" s="515"/>
      <c r="E21" s="212">
        <f>B21/RCL!B12</f>
        <v>0.38576932830314442</v>
      </c>
      <c r="F21" s="214">
        <f>Projeções!I116-Projeções!I119</f>
        <v>13175085.722254876</v>
      </c>
      <c r="G21" s="215">
        <f>F21/((1+Parâmetros!E11)*(1+Parâmetros!F11))</f>
        <v>12181107.361552214</v>
      </c>
      <c r="H21" s="515"/>
      <c r="I21" s="212">
        <f>F21/RCL!C12</f>
        <v>0.41023596586420424</v>
      </c>
      <c r="J21" s="214">
        <f>Projeções!J116-Projeções!J119</f>
        <v>15018129.044789067</v>
      </c>
      <c r="K21" s="215">
        <f>J21/((1+Parâmetros!E11)*(1+Parâmetros!F11)*(1+Parâmetros!G11))</f>
        <v>13351062.034867384</v>
      </c>
      <c r="L21" s="515"/>
      <c r="M21" s="212">
        <f>J21/RCL!D12</f>
        <v>0.41804619436639884</v>
      </c>
    </row>
    <row r="22" spans="1:13" x14ac:dyDescent="0.2">
      <c r="A22" s="213" t="s">
        <v>399</v>
      </c>
      <c r="B22" s="215">
        <f>Projeções!H126-Projeções!H129</f>
        <v>12817331.837206943</v>
      </c>
      <c r="C22" s="215">
        <f>B22/(1+Parâmetros!E11)</f>
        <v>12324357.535775905</v>
      </c>
      <c r="D22" s="515"/>
      <c r="E22" s="212">
        <f>B22/RCL!B12</f>
        <v>0.45949851808126507</v>
      </c>
      <c r="F22" s="214">
        <f>Projeções!I126-Projeções!I129</f>
        <v>15304809.874374764</v>
      </c>
      <c r="G22" s="215">
        <f>F22/((1+Parâmetros!E11)*(1+Parâmetros!F11))</f>
        <v>14150157.05840862</v>
      </c>
      <c r="H22" s="515"/>
      <c r="I22" s="212">
        <f>F22/RCL!C12</f>
        <v>0.47654972373929883</v>
      </c>
      <c r="J22" s="214">
        <f>Projeções!J126-Projeções!J129</f>
        <v>17573690.501845706</v>
      </c>
      <c r="K22" s="215">
        <f>J22/((1+Parâmetros!E11)*(1+Parâmetros!F11)*(1+Parâmetros!G11))</f>
        <v>15622946.864550475</v>
      </c>
      <c r="L22" s="515"/>
      <c r="M22" s="212">
        <f>J22/RCL!D12</f>
        <v>0.48918306756850166</v>
      </c>
    </row>
    <row r="23" spans="1:13" x14ac:dyDescent="0.2">
      <c r="A23" s="213" t="s">
        <v>400</v>
      </c>
      <c r="B23" s="215">
        <f>Projeções!H132-Projeções!H135+Projeções!H137-Projeções!H138-Projeções!H141</f>
        <v>2686464.4738306599</v>
      </c>
      <c r="C23" s="215">
        <f>B23/(1+Parâmetros!E11)</f>
        <v>2583138.9171448653</v>
      </c>
      <c r="D23" s="515"/>
      <c r="E23" s="212">
        <f>B23/RCL!B12</f>
        <v>9.6309158589448732E-2</v>
      </c>
      <c r="F23" s="214">
        <f>Projeções!I132-Projeções!I135+Projeções!I137-Projeções!I138-Projeções!I141</f>
        <v>3093589.379944725</v>
      </c>
      <c r="G23" s="215">
        <f>F23/((1+Parâmetros!E11)*(1+Parâmetros!F11))</f>
        <v>2860197.2817536285</v>
      </c>
      <c r="H23" s="515"/>
      <c r="I23" s="212">
        <f>F23/RCL!C12</f>
        <v>9.6325872485607339E-2</v>
      </c>
      <c r="J23" s="214">
        <f>Projeções!J132-Projeções!J135+Projeções!J137-Projeções!J138-Projeções!J141</f>
        <v>3680804.7425369839</v>
      </c>
      <c r="K23" s="215">
        <f>J23/((1+Parâmetros!E11)*(1+Parâmetros!F11)*(1+Parâmetros!G11))</f>
        <v>3272222.0130940126</v>
      </c>
      <c r="L23" s="515"/>
      <c r="M23" s="212">
        <f>J23/RCL!D12</f>
        <v>0.10245926175186829</v>
      </c>
    </row>
    <row r="24" spans="1:13" x14ac:dyDescent="0.2">
      <c r="A24" s="213" t="s">
        <v>401</v>
      </c>
      <c r="B24" s="215">
        <f>Projeções!H119+Projeções!H129+Projeções!H135+Projeções!H141</f>
        <v>1465805.6507333335</v>
      </c>
      <c r="C24" s="215">
        <f>B24/(1+Parâmetros!E11)</f>
        <v>1409428.510320513</v>
      </c>
      <c r="D24" s="515"/>
      <c r="E24" s="212">
        <f>B24/RCL!B12</f>
        <v>5.2548809132953136E-2</v>
      </c>
      <c r="F24" s="214">
        <f>Projeções!I119+Projeções!I129+Projeções!I135+Projeções!I141</f>
        <v>1233351.1253208888</v>
      </c>
      <c r="G24" s="215">
        <f>F24/((1+Parâmetros!E11)*(1+Parâmetros!F11))</f>
        <v>1140302.445747863</v>
      </c>
      <c r="H24" s="515"/>
      <c r="I24" s="212">
        <f>F24/RCL!C12</f>
        <v>3.8403164944199215E-2</v>
      </c>
      <c r="J24" s="214">
        <f>Projeções!J119+Projeções!J129+Projeções!J135+Projeções!J141</f>
        <v>1519800.0362321304</v>
      </c>
      <c r="K24" s="215">
        <f>J24/((1+Parâmetros!E11)*(1+Parâmetros!F11)*(1+Parâmetros!G11))</f>
        <v>1351096.6981182883</v>
      </c>
      <c r="L24" s="515"/>
      <c r="M24" s="212">
        <f>J24/RCL!D12</f>
        <v>4.2305311097670141E-2</v>
      </c>
    </row>
    <row r="25" spans="1:13" x14ac:dyDescent="0.2">
      <c r="A25" s="216" t="s">
        <v>402</v>
      </c>
      <c r="B25" s="215">
        <f>'Projeções - RPPS'!H35</f>
        <v>4627000.0006663296</v>
      </c>
      <c r="C25" s="215">
        <f>B25/(1+Parâmetros!E11)</f>
        <v>4449038.4621791625</v>
      </c>
      <c r="D25" s="515"/>
      <c r="E25" s="212">
        <f>B25/RCL!B12</f>
        <v>0.16587692902639983</v>
      </c>
      <c r="F25" s="215">
        <f>'Projeções - RPPS'!I35</f>
        <v>4985781.6214490905</v>
      </c>
      <c r="G25" s="215">
        <f>F25/((1+Parâmetros!E11)*(1+Parâmetros!F11))</f>
        <v>4609635.3748604748</v>
      </c>
      <c r="H25" s="515"/>
      <c r="I25" s="212">
        <f>F25/RCL!C12</f>
        <v>0.15524353937282095</v>
      </c>
      <c r="J25" s="215">
        <f>'Projeções - RPPS'!J35</f>
        <v>5335746.1956551392</v>
      </c>
      <c r="K25" s="215">
        <f>J25/((1+Parâmetros!E11)*(1+Parâmetros!F11)*(1+Parâmetros!G11))</f>
        <v>4743458.9387296056</v>
      </c>
      <c r="L25" s="515"/>
      <c r="M25" s="212">
        <f>J25/RCL!D12</f>
        <v>0.14852638331620827</v>
      </c>
    </row>
    <row r="26" spans="1:13" x14ac:dyDescent="0.2">
      <c r="A26" s="216" t="s">
        <v>403</v>
      </c>
      <c r="B26" s="215">
        <f>B25-'Projeções - RPPS'!H10-'Projeções - RPPS'!H19-'Projeções - RPPS'!H23-'Projeções - RPPS'!H27-'Projeções - RPPS'!H30-'Projeções - RPPS'!H32</f>
        <v>2627000.0006663296</v>
      </c>
      <c r="C26" s="215">
        <f>B26/(1+Parâmetros!E11)</f>
        <v>2525961.53910224</v>
      </c>
      <c r="D26" s="515"/>
      <c r="E26" s="212">
        <f>B26/RCL!B12</f>
        <v>9.4177370347985276E-2</v>
      </c>
      <c r="F26" s="215">
        <f>F25-'Projeções - RPPS'!I10-'Projeções - RPPS'!I19-'Projeções - RPPS'!I23-'Projeções - RPPS'!I27-'Projeções - RPPS'!I30-'Projeções - RPPS'!I32</f>
        <v>2864181.6214490905</v>
      </c>
      <c r="G26" s="215">
        <f>F26/((1+Parâmetros!E11)*(1+Parâmetros!F11))</f>
        <v>2648096.9133220138</v>
      </c>
      <c r="H26" s="515"/>
      <c r="I26" s="212">
        <f>F26/RCL!C12</f>
        <v>8.918274527056165E-2</v>
      </c>
      <c r="J26" s="215">
        <f>J25-'Projeções - RPPS'!J10-'Projeções - RPPS'!J19-'Projeções - RPPS'!J23-'Projeções - RPPS'!J27-'Projeções - RPPS'!J30-'Projeções - RPPS'!J32</f>
        <v>3085152.9156551389</v>
      </c>
      <c r="K26" s="215">
        <f>J26/((1+Parâmetros!E11)*(1+Parâmetros!F11)*(1+Parâmetros!G11))</f>
        <v>2742689.7079603747</v>
      </c>
      <c r="L26" s="515"/>
      <c r="M26" s="212">
        <f>J26/RCL!D12</f>
        <v>8.5878635852815383E-2</v>
      </c>
    </row>
    <row r="27" spans="1:13" x14ac:dyDescent="0.2">
      <c r="A27" s="216" t="s">
        <v>404</v>
      </c>
      <c r="B27" s="215">
        <f>'Projeções - RPPS'!H69</f>
        <v>2000000.0031999999</v>
      </c>
      <c r="C27" s="215">
        <f>B27/(1+Parâmetros!E11)</f>
        <v>1923076.9261538461</v>
      </c>
      <c r="D27" s="515"/>
      <c r="E27" s="212">
        <f>B27/RCL!B12</f>
        <v>7.1699558793133833E-2</v>
      </c>
      <c r="F27" s="215">
        <f>'Projeções - RPPS'!I69</f>
        <v>2092790.3604426668</v>
      </c>
      <c r="G27" s="215">
        <f>F27/((1+Parâmetros!E11)*(1+Parâmetros!F11))</f>
        <v>1934902.3302909269</v>
      </c>
      <c r="H27" s="515"/>
      <c r="I27" s="212">
        <f>F27/RCL!C12</f>
        <v>6.5163741091815636E-2</v>
      </c>
      <c r="J27" s="215">
        <f>'Projeções - RPPS'!J69</f>
        <v>2208720.8926694579</v>
      </c>
      <c r="K27" s="215">
        <f>J27/((1+Parâmetros!E11)*(1+Parâmetros!F11)*(1+Parâmetros!G11))</f>
        <v>1963544.8309035206</v>
      </c>
      <c r="L27" s="515"/>
      <c r="M27" s="212">
        <f>J27/RCL!D12</f>
        <v>6.1482183356148599E-2</v>
      </c>
    </row>
    <row r="28" spans="1:13" x14ac:dyDescent="0.2">
      <c r="A28" s="216" t="s">
        <v>405</v>
      </c>
      <c r="B28" s="215">
        <f>B27-'Projeções - RPPS'!H48-'Projeções - RPPS'!H65</f>
        <v>2000000.0031999999</v>
      </c>
      <c r="C28" s="215">
        <f>B28/(1+Parâmetros!E11)</f>
        <v>1923076.9261538461</v>
      </c>
      <c r="D28" s="515"/>
      <c r="E28" s="212">
        <f>B28/RCL!B12</f>
        <v>7.1699558793133833E-2</v>
      </c>
      <c r="F28" s="215">
        <f>F27-'Projeções - RPPS'!I48-'Projeções - RPPS'!I65</f>
        <v>2092790.3604426668</v>
      </c>
      <c r="G28" s="215">
        <f>F28/((1+Parâmetros!E11)*(1+Parâmetros!F11))</f>
        <v>1934902.3302909269</v>
      </c>
      <c r="H28" s="515"/>
      <c r="I28" s="212">
        <f>F28/RCL!C12</f>
        <v>6.5163741091815636E-2</v>
      </c>
      <c r="J28" s="215">
        <f>J27-'Projeções - RPPS'!J48-'Projeções - RPPS'!J65</f>
        <v>2208720.8926694579</v>
      </c>
      <c r="K28" s="215">
        <f>J28/((1+Parâmetros!E11)*(1+Parâmetros!F11)*(1+Parâmetros!G11))</f>
        <v>1963544.8309035206</v>
      </c>
      <c r="L28" s="515"/>
      <c r="M28" s="212">
        <f>J28/RCL!D12</f>
        <v>6.1482183356148599E-2</v>
      </c>
    </row>
    <row r="29" spans="1:13" x14ac:dyDescent="0.2">
      <c r="A29" s="207" t="s">
        <v>406</v>
      </c>
      <c r="B29" s="210">
        <f>B12-B19</f>
        <v>198676.61164660007</v>
      </c>
      <c r="C29" s="210">
        <f>C12-C19</f>
        <v>3226257.1315237433</v>
      </c>
      <c r="D29" s="515"/>
      <c r="E29" s="211">
        <f>B29/RCL!B12</f>
        <v>7.1225126873919898E-3</v>
      </c>
      <c r="F29" s="208">
        <f>F12-F19</f>
        <v>-655911.21708216146</v>
      </c>
      <c r="G29" s="210">
        <f>G12-G19</f>
        <v>-606426.79094134644</v>
      </c>
      <c r="H29" s="515"/>
      <c r="I29" s="211">
        <f>F29/RCL!C12</f>
        <v>-2.0423272936004419E-2</v>
      </c>
      <c r="J29" s="208">
        <f>J12-J19</f>
        <v>-1832632.4159994051</v>
      </c>
      <c r="K29" s="210">
        <f>K12-K19</f>
        <v>-1629203.5446057543</v>
      </c>
      <c r="L29" s="515"/>
      <c r="M29" s="211">
        <f>J29/RCL!D12</f>
        <v>-5.1013345596925573E-2</v>
      </c>
    </row>
    <row r="30" spans="1:13" x14ac:dyDescent="0.2">
      <c r="A30" s="207" t="s">
        <v>407</v>
      </c>
      <c r="B30" s="208">
        <f>B29+(B26-B28)</f>
        <v>825676.60911292979</v>
      </c>
      <c r="C30" s="208">
        <f>C29+(C26-C28)</f>
        <v>3829141.7444721372</v>
      </c>
      <c r="D30" s="515"/>
      <c r="E30" s="211">
        <f>B30/RCL!B12</f>
        <v>2.9600324242243431E-2</v>
      </c>
      <c r="F30" s="208">
        <f>F29+(F26-F28)</f>
        <v>115480.04392426228</v>
      </c>
      <c r="G30" s="208">
        <f>G29+(G26-G28)</f>
        <v>106767.79208974051</v>
      </c>
      <c r="H30" s="515"/>
      <c r="I30" s="211">
        <f>F30/RCL!C12</f>
        <v>3.5957312427415873E-3</v>
      </c>
      <c r="J30" s="208">
        <f>J29+(J26-J28)</f>
        <v>-956200.39301372413</v>
      </c>
      <c r="K30" s="208">
        <f>K29+(K26-K28)</f>
        <v>-850058.66754890024</v>
      </c>
      <c r="L30" s="515"/>
      <c r="M30" s="211">
        <f>J30/RCL!D12</f>
        <v>-2.6616893100258793E-2</v>
      </c>
    </row>
    <row r="31" spans="1:13" ht="14.25" customHeight="1" x14ac:dyDescent="0.2">
      <c r="A31" s="216" t="s">
        <v>408</v>
      </c>
      <c r="B31" s="214">
        <f>Projeções!H25+Projeções!H26+Projeções!H27+Projeções!H35+Projeções!H72</f>
        <v>381467.80779200245</v>
      </c>
      <c r="C31" s="215">
        <f>B31/(1+Parâmetros!E11)</f>
        <v>366795.96903077158</v>
      </c>
      <c r="D31" s="515"/>
      <c r="E31" s="212">
        <f>B31/RCL!B12</f>
        <v>1.3675536734354421E-2</v>
      </c>
      <c r="F31" s="214">
        <f>Projeções!I25+Projeções!I26+Projeções!I27+Projeções!I35+Projeções!I72</f>
        <v>404661.05050575623</v>
      </c>
      <c r="G31" s="215">
        <f>F31/((1+Parâmetros!E11)*(1+Parâmetros!F11))</f>
        <v>374131.88841138699</v>
      </c>
      <c r="H31" s="515"/>
      <c r="I31" s="212">
        <f>F31/RCL!C12</f>
        <v>1.2600033153593853E-2</v>
      </c>
      <c r="J31" s="214">
        <f>Projeções!J25+Projeções!M26+Projeções!M27+Projeções!M35+Projeções!M72</f>
        <v>206575.95956780436</v>
      </c>
      <c r="K31" s="215">
        <f>J31/((1+Parâmetros!E11)*(1+Parâmetros!F11)*(1+Parâmetros!G11))</f>
        <v>183645.2758447282</v>
      </c>
      <c r="L31" s="515"/>
      <c r="M31" s="212">
        <f>J31/RCL!D12</f>
        <v>5.750269789755999E-3</v>
      </c>
    </row>
    <row r="32" spans="1:13" ht="17.25" customHeight="1" x14ac:dyDescent="0.2">
      <c r="A32" s="216" t="s">
        <v>409</v>
      </c>
      <c r="B32" s="214">
        <f>Projeções!H121</f>
        <v>176014.44248295604</v>
      </c>
      <c r="C32" s="215">
        <f>B32/(1+Parâmetros!E11)</f>
        <v>169244.65623361157</v>
      </c>
      <c r="D32" s="515"/>
      <c r="E32" s="212">
        <f>B32/RCL!B12</f>
        <v>6.3100789235275645E-3</v>
      </c>
      <c r="F32" s="214">
        <f>Projeções!I121</f>
        <v>191855.74230642209</v>
      </c>
      <c r="G32" s="215">
        <f>F32/((1+Parâmetros!E11)*(1+Parâmetros!F11))</f>
        <v>177381.41855253521</v>
      </c>
      <c r="H32" s="515"/>
      <c r="I32" s="212">
        <f>F32/RCL!C12</f>
        <v>5.9738606192687926E-3</v>
      </c>
      <c r="J32" s="214">
        <f>Projeções!J121</f>
        <v>208643.11975823401</v>
      </c>
      <c r="K32" s="215">
        <f>J32/((1+Parâmetros!E11)*(1+Parâmetros!F11)*(1+Parâmetros!G11))</f>
        <v>185482.97372680964</v>
      </c>
      <c r="L32" s="515"/>
      <c r="M32" s="212">
        <f>J32/RCL!D12</f>
        <v>5.8078114747540169E-3</v>
      </c>
    </row>
    <row r="33" spans="1:13" x14ac:dyDescent="0.2">
      <c r="A33" s="216" t="s">
        <v>410</v>
      </c>
      <c r="B33" s="214">
        <f>Dívida!E7</f>
        <v>220671.89999999994</v>
      </c>
      <c r="C33" s="215">
        <f>B33/(1+Parâmetros!E11)</f>
        <v>212184.51923076916</v>
      </c>
      <c r="D33" s="515"/>
      <c r="E33" s="212">
        <f>B33/RCL!B12</f>
        <v>7.9110389213636109E-3</v>
      </c>
      <c r="F33" s="214">
        <f>Dívida!F7</f>
        <v>0</v>
      </c>
      <c r="G33" s="215">
        <f>F33/((1+Parâmetros!E11)*(1+Parâmetros!F11))</f>
        <v>0</v>
      </c>
      <c r="H33" s="515"/>
      <c r="I33" s="212">
        <f>F33/RCL!C12</f>
        <v>0</v>
      </c>
      <c r="J33" s="214">
        <f>Dívida!G7</f>
        <v>0</v>
      </c>
      <c r="K33" s="215">
        <f>J33/((1+Parâmetros!E11)*(1+Parâmetros!F11)*(1+Parâmetros!G11))</f>
        <v>0</v>
      </c>
      <c r="L33" s="515"/>
      <c r="M33" s="212">
        <f>J33/RCL!D12</f>
        <v>0</v>
      </c>
    </row>
    <row r="34" spans="1:13" x14ac:dyDescent="0.2">
      <c r="A34" s="216" t="s">
        <v>411</v>
      </c>
      <c r="B34" s="215">
        <f>Dívida!E15</f>
        <v>-3297006.25</v>
      </c>
      <c r="C34" s="215">
        <f>B34/(1+Parâmetros!E11)</f>
        <v>-3170198.317307692</v>
      </c>
      <c r="D34" s="515"/>
      <c r="E34" s="212">
        <f>B34/RCL!B12</f>
        <v>-0.11819694654248725</v>
      </c>
      <c r="F34" s="214">
        <f>Dívida!F15</f>
        <v>-3603852.3</v>
      </c>
      <c r="G34" s="215">
        <f>F34/((1+Parâmetros!E11)*(1+Parâmetros!F11))</f>
        <v>-3331964.0347633129</v>
      </c>
      <c r="H34" s="515"/>
      <c r="I34" s="212">
        <f>F34/RCL!C12</f>
        <v>-0.11221405767593026</v>
      </c>
      <c r="J34" s="214">
        <f>Dívida!G15</f>
        <v>-3391626.7066666661</v>
      </c>
      <c r="K34" s="215">
        <f>J34/((1+Parâmetros!E11)*(1+Parâmetros!F11)*(1+Parâmetros!G11))</f>
        <v>-3015143.7921976931</v>
      </c>
      <c r="L34" s="515"/>
      <c r="M34" s="212">
        <f>J34/RCL!D12</f>
        <v>-9.440967201739453E-2</v>
      </c>
    </row>
    <row r="35" spans="1:13" ht="16.5" customHeight="1" x14ac:dyDescent="0.2">
      <c r="A35" s="217" t="s">
        <v>412</v>
      </c>
      <c r="B35" s="218">
        <f>Dívida!D15-Dívida!E15</f>
        <v>687325.89000000013</v>
      </c>
      <c r="C35" s="210">
        <f>B35/(1+Parâmetros!E11)</f>
        <v>660890.27884615399</v>
      </c>
      <c r="D35" s="516"/>
      <c r="E35" s="220">
        <f>B35/RCL!B12</f>
        <v>2.4640481490624255E-2</v>
      </c>
      <c r="F35" s="218">
        <f>Dívida!E15-Dívida!F15</f>
        <v>306846.04999999981</v>
      </c>
      <c r="G35" s="219">
        <f>F35/((1+Parâmetros!E11)*(1+Parâmetros!F11))</f>
        <v>283696.42196745542</v>
      </c>
      <c r="H35" s="516"/>
      <c r="I35" s="220">
        <f>F35/RCL!C12</f>
        <v>9.5543428215222256E-3</v>
      </c>
      <c r="J35" s="218">
        <f>Dívida!F15-Dívida!G15</f>
        <v>-212225.59333333373</v>
      </c>
      <c r="K35" s="219">
        <f>J35/((1+Parâmetros!E11)*(1+Parâmetros!F11)*(1+Parâmetros!G11))</f>
        <v>-188667.77969010806</v>
      </c>
      <c r="L35" s="516"/>
      <c r="M35" s="220">
        <f>J35/RCL!D12</f>
        <v>-5.9075335799524857E-3</v>
      </c>
    </row>
    <row r="36" spans="1:13" ht="24" customHeight="1" x14ac:dyDescent="0.2">
      <c r="A36" s="519" t="s">
        <v>413</v>
      </c>
      <c r="B36" s="520"/>
      <c r="C36" s="520"/>
      <c r="D36" s="520"/>
      <c r="E36" s="520"/>
      <c r="F36" s="520"/>
      <c r="G36" s="520"/>
      <c r="H36" s="520"/>
      <c r="I36" s="520"/>
      <c r="J36" s="520"/>
      <c r="K36" s="520"/>
      <c r="L36" s="520"/>
      <c r="M36" s="520"/>
    </row>
    <row r="37" spans="1:13" ht="48" customHeight="1" x14ac:dyDescent="0.2">
      <c r="A37" s="521" t="s">
        <v>414</v>
      </c>
      <c r="B37" s="522"/>
      <c r="C37" s="522"/>
      <c r="D37" s="522"/>
      <c r="E37" s="522"/>
      <c r="F37" s="522"/>
      <c r="G37" s="522"/>
      <c r="H37" s="522"/>
      <c r="I37" s="522"/>
      <c r="J37" s="522"/>
      <c r="K37" s="522"/>
      <c r="L37" s="522"/>
      <c r="M37" s="522"/>
    </row>
    <row r="38" spans="1:13" ht="42" customHeight="1" x14ac:dyDescent="0.2">
      <c r="A38" s="517" t="s">
        <v>415</v>
      </c>
      <c r="B38" s="518"/>
      <c r="C38" s="518"/>
      <c r="D38" s="518"/>
      <c r="E38" s="518"/>
      <c r="F38" s="518"/>
      <c r="G38" s="518"/>
      <c r="H38" s="518"/>
      <c r="I38" s="518"/>
      <c r="J38" s="518"/>
      <c r="K38" s="518"/>
      <c r="L38" s="518"/>
      <c r="M38" s="518"/>
    </row>
    <row r="39" spans="1:13" ht="34.5" customHeight="1" x14ac:dyDescent="0.2">
      <c r="A39" s="511" t="s">
        <v>416</v>
      </c>
      <c r="B39" s="512"/>
      <c r="C39" s="512"/>
      <c r="D39" s="512"/>
      <c r="E39" s="512"/>
      <c r="F39" s="512"/>
      <c r="G39" s="512"/>
      <c r="H39" s="512"/>
      <c r="I39" s="512"/>
      <c r="J39" s="512"/>
      <c r="K39" s="512"/>
      <c r="L39" s="512"/>
      <c r="M39" s="513"/>
    </row>
  </sheetData>
  <mergeCells count="18">
    <mergeCell ref="A1:L1"/>
    <mergeCell ref="A2:L2"/>
    <mergeCell ref="A3:L3"/>
    <mergeCell ref="A4:L4"/>
    <mergeCell ref="A5:L5"/>
    <mergeCell ref="A6:H6"/>
    <mergeCell ref="J6:M6"/>
    <mergeCell ref="B7:E7"/>
    <mergeCell ref="F7:I7"/>
    <mergeCell ref="J7:M7"/>
    <mergeCell ref="A7:A10"/>
    <mergeCell ref="A39:M39"/>
    <mergeCell ref="D11:D35"/>
    <mergeCell ref="H11:H35"/>
    <mergeCell ref="L11:L35"/>
    <mergeCell ref="A38:M38"/>
    <mergeCell ref="A36:M36"/>
    <mergeCell ref="A37:M37"/>
  </mergeCells>
  <pageMargins left="0.511811024" right="0.511811024" top="0.78740157499999996" bottom="0.78740157499999996" header="0.31496062000000002" footer="0.31496062000000002"/>
  <pageSetup paperSize="9" orientation="portrait"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AF8E5-F647-4375-9C89-C48F3F84A7E7}">
  <dimension ref="A1:I28"/>
  <sheetViews>
    <sheetView topLeftCell="A28" workbookViewId="0">
      <selection activeCell="E14" sqref="E14"/>
    </sheetView>
  </sheetViews>
  <sheetFormatPr defaultRowHeight="12.75" x14ac:dyDescent="0.2"/>
  <cols>
    <col min="1" max="1" width="56.28515625" style="88" customWidth="1"/>
    <col min="2" max="2" width="12.28515625" style="88" bestFit="1" customWidth="1"/>
    <col min="3" max="3" width="7.42578125" style="88" customWidth="1"/>
    <col min="4" max="4" width="7.7109375" style="88" bestFit="1" customWidth="1"/>
    <col min="5" max="5" width="12.28515625" style="88" bestFit="1" customWidth="1"/>
    <col min="6" max="6" width="5.7109375" style="88" customWidth="1"/>
    <col min="7" max="7" width="7.7109375" style="88" bestFit="1" customWidth="1"/>
    <col min="8" max="8" width="12.85546875" style="88" bestFit="1" customWidth="1"/>
    <col min="9" max="9" width="10.140625" style="88" customWidth="1"/>
    <col min="10" max="16384" width="9.140625" style="88"/>
  </cols>
  <sheetData>
    <row r="1" spans="1:9" x14ac:dyDescent="0.2">
      <c r="A1" s="538" t="str">
        <f>Parâmetros!A7</f>
        <v>Município de :   NOVA PÁDUA</v>
      </c>
      <c r="B1" s="539"/>
      <c r="C1" s="539"/>
      <c r="D1" s="539"/>
      <c r="E1" s="539"/>
      <c r="F1" s="539"/>
      <c r="G1" s="539"/>
      <c r="H1" s="539"/>
      <c r="I1" s="540"/>
    </row>
    <row r="2" spans="1:9" x14ac:dyDescent="0.2">
      <c r="A2" s="541" t="s">
        <v>368</v>
      </c>
      <c r="B2" s="539"/>
      <c r="C2" s="539"/>
      <c r="D2" s="539"/>
      <c r="E2" s="539"/>
      <c r="F2" s="539"/>
      <c r="G2" s="539"/>
      <c r="H2" s="539"/>
      <c r="I2" s="540"/>
    </row>
    <row r="3" spans="1:9" x14ac:dyDescent="0.2">
      <c r="A3" s="541" t="s">
        <v>369</v>
      </c>
      <c r="B3" s="539"/>
      <c r="C3" s="539"/>
      <c r="D3" s="539"/>
      <c r="E3" s="539"/>
      <c r="F3" s="539"/>
      <c r="G3" s="539"/>
      <c r="H3" s="539"/>
      <c r="I3" s="540"/>
    </row>
    <row r="4" spans="1:9" x14ac:dyDescent="0.2">
      <c r="A4" s="542" t="s">
        <v>417</v>
      </c>
      <c r="B4" s="543"/>
      <c r="C4" s="543"/>
      <c r="D4" s="543"/>
      <c r="E4" s="543"/>
      <c r="F4" s="543"/>
      <c r="G4" s="543"/>
      <c r="H4" s="543"/>
      <c r="I4" s="544"/>
    </row>
    <row r="5" spans="1:9" x14ac:dyDescent="0.2">
      <c r="A5" s="541">
        <f>Parâmetros!E10</f>
        <v>2025</v>
      </c>
      <c r="B5" s="539"/>
      <c r="C5" s="539"/>
      <c r="D5" s="539"/>
      <c r="E5" s="539"/>
      <c r="F5" s="539"/>
      <c r="G5" s="539"/>
      <c r="H5" s="539"/>
      <c r="I5" s="540"/>
    </row>
    <row r="6" spans="1:9" x14ac:dyDescent="0.2">
      <c r="A6" s="548" t="s">
        <v>418</v>
      </c>
      <c r="B6" s="549"/>
      <c r="C6" s="168"/>
      <c r="D6" s="168"/>
      <c r="E6" s="168"/>
      <c r="F6" s="168"/>
      <c r="G6" s="168"/>
      <c r="H6" s="550">
        <v>1</v>
      </c>
      <c r="I6" s="551"/>
    </row>
    <row r="7" spans="1:9" ht="38.25" x14ac:dyDescent="0.2">
      <c r="A7" s="552" t="s">
        <v>325</v>
      </c>
      <c r="B7" s="419" t="s">
        <v>419</v>
      </c>
      <c r="C7" s="555" t="s">
        <v>373</v>
      </c>
      <c r="D7" s="555" t="s">
        <v>374</v>
      </c>
      <c r="E7" s="419" t="s">
        <v>420</v>
      </c>
      <c r="F7" s="555" t="s">
        <v>373</v>
      </c>
      <c r="G7" s="555" t="s">
        <v>374</v>
      </c>
      <c r="H7" s="555" t="s">
        <v>421</v>
      </c>
      <c r="I7" s="555"/>
    </row>
    <row r="8" spans="1:9" x14ac:dyDescent="0.2">
      <c r="A8" s="553"/>
      <c r="B8" s="419"/>
      <c r="C8" s="555"/>
      <c r="D8" s="555"/>
      <c r="E8" s="419"/>
      <c r="F8" s="555"/>
      <c r="G8" s="555"/>
      <c r="H8" s="419" t="s">
        <v>372</v>
      </c>
      <c r="I8" s="419" t="s">
        <v>422</v>
      </c>
    </row>
    <row r="9" spans="1:9" x14ac:dyDescent="0.2">
      <c r="A9" s="554"/>
      <c r="B9" s="419" t="s">
        <v>383</v>
      </c>
      <c r="C9" s="555"/>
      <c r="D9" s="555"/>
      <c r="E9" s="419" t="s">
        <v>385</v>
      </c>
      <c r="F9" s="555"/>
      <c r="G9" s="555"/>
      <c r="H9" s="419" t="s">
        <v>423</v>
      </c>
      <c r="I9" s="419" t="s">
        <v>424</v>
      </c>
    </row>
    <row r="10" spans="1:9" x14ac:dyDescent="0.2">
      <c r="A10" s="94" t="s">
        <v>425</v>
      </c>
      <c r="B10" s="174">
        <f>'[1]Metas Cons'!$B$12-[1]MetasRPPS!$B$12</f>
        <v>21339506.826908514</v>
      </c>
      <c r="C10" s="560" t="s">
        <v>426</v>
      </c>
      <c r="D10" s="301">
        <f>B10/B25</f>
        <v>0.84319875669376554</v>
      </c>
      <c r="E10" s="383">
        <f>Projeções!F107</f>
        <v>26905103.16</v>
      </c>
      <c r="F10" s="545" t="s">
        <v>426</v>
      </c>
      <c r="G10" s="301">
        <f>E10/B26</f>
        <v>1.0819650419082782</v>
      </c>
      <c r="H10" s="302">
        <f>E10-B10</f>
        <v>5565596.3330914862</v>
      </c>
      <c r="I10" s="303">
        <f>H10/B10</f>
        <v>0.26081185372444626</v>
      </c>
    </row>
    <row r="11" spans="1:9" s="169" customFormat="1" x14ac:dyDescent="0.2">
      <c r="A11" s="94" t="s">
        <v>427</v>
      </c>
      <c r="B11" s="174">
        <f>'[1]Metas Cons'!$B$13-[1]MetasRPPS!$B$13</f>
        <v>21257409.566908516</v>
      </c>
      <c r="C11" s="561"/>
      <c r="D11" s="301">
        <f>B11/B25</f>
        <v>0.83995480601948502</v>
      </c>
      <c r="E11" s="392">
        <f>E10-Projeções!F24-Projeções!F35-Projeções!F68-Projeções!F72-Projeções!F74-Projeções!F77-Projeções!F79-Projeções!F83-Projeções!F94-Projeções!F97-Projeções!F100</f>
        <v>26514443.289999999</v>
      </c>
      <c r="F11" s="546"/>
      <c r="G11" s="301">
        <f>E11/B26</f>
        <v>1.0662549990921319</v>
      </c>
      <c r="H11" s="304">
        <f t="shared" ref="H11:H22" si="0">E11-B11</f>
        <v>5257033.7230914831</v>
      </c>
      <c r="I11" s="305">
        <f t="shared" ref="I11:I22" si="1">H11/B11</f>
        <v>0.2473035910864288</v>
      </c>
    </row>
    <row r="12" spans="1:9" x14ac:dyDescent="0.2">
      <c r="A12" s="94" t="s">
        <v>428</v>
      </c>
      <c r="B12" s="174">
        <f>'[1]Metas Cons'!$B$20-[1]MetasRPPS!$B$14</f>
        <v>22597515.836735345</v>
      </c>
      <c r="C12" s="561"/>
      <c r="D12" s="301">
        <f>B12/B25</f>
        <v>0.8929071047638325</v>
      </c>
      <c r="E12" s="383">
        <f>Projeções!F148</f>
        <v>25077758.280000001</v>
      </c>
      <c r="F12" s="546"/>
      <c r="G12" s="301">
        <f>E12/B26</f>
        <v>1.0084799759744119</v>
      </c>
      <c r="H12" s="304">
        <f t="shared" si="0"/>
        <v>2480242.4432646558</v>
      </c>
      <c r="I12" s="305">
        <f t="shared" si="1"/>
        <v>0.1097573052358562</v>
      </c>
    </row>
    <row r="13" spans="1:9" x14ac:dyDescent="0.2">
      <c r="A13" s="94" t="s">
        <v>429</v>
      </c>
      <c r="B13" s="174">
        <f>'[1]Metas Cons'!$B$21-[1]MetasRPPS!$B$15</f>
        <v>23721071.152735349</v>
      </c>
      <c r="C13" s="561"/>
      <c r="D13" s="301">
        <f>B13/B25</f>
        <v>0.93730271583452762</v>
      </c>
      <c r="E13" s="383">
        <f>E12-Projeções!F121-Projeções!F138-Projeções!F143</f>
        <v>24588094.23</v>
      </c>
      <c r="F13" s="546"/>
      <c r="G13" s="301">
        <f>E13/B26</f>
        <v>0.98878856720230635</v>
      </c>
      <c r="H13" s="304">
        <f t="shared" si="0"/>
        <v>867023.07726465166</v>
      </c>
      <c r="I13" s="305">
        <f t="shared" si="1"/>
        <v>3.655075572608249E-2</v>
      </c>
    </row>
    <row r="14" spans="1:9" x14ac:dyDescent="0.2">
      <c r="A14" s="94" t="s">
        <v>430</v>
      </c>
      <c r="B14" s="174">
        <v>25800000</v>
      </c>
      <c r="C14" s="561"/>
      <c r="D14" s="301">
        <f>B14/B25</f>
        <v>1.0194484858135198</v>
      </c>
      <c r="E14" s="383">
        <f>'Projeções - RPPS'!F35</f>
        <v>4795544.9400000004</v>
      </c>
      <c r="F14" s="546"/>
      <c r="G14" s="301">
        <f>E14/B26</f>
        <v>0.19284861875921283</v>
      </c>
      <c r="H14" s="304">
        <f t="shared" si="0"/>
        <v>-21004455.059999999</v>
      </c>
      <c r="I14" s="305">
        <f t="shared" si="1"/>
        <v>-0.814126165116279</v>
      </c>
    </row>
    <row r="15" spans="1:9" x14ac:dyDescent="0.2">
      <c r="A15" s="94" t="s">
        <v>431</v>
      </c>
      <c r="B15" s="174">
        <f>'[1]Metas Cons'!$B$13</f>
        <v>23199509.063908517</v>
      </c>
      <c r="C15" s="561"/>
      <c r="D15" s="301">
        <f>B15/B25</f>
        <v>0.91669396848133966</v>
      </c>
      <c r="E15" s="383">
        <f>E14-'Projeções - RPPS'!F11-'Projeções - RPPS'!F19-'Projeções - RPPS'!F23-'Projeções - RPPS'!F27-'Projeções - RPPS'!F30</f>
        <v>4795544.9400000004</v>
      </c>
      <c r="F15" s="546"/>
      <c r="G15" s="301">
        <f>E15/B26</f>
        <v>0.19284861875921283</v>
      </c>
      <c r="H15" s="304">
        <f t="shared" si="0"/>
        <v>-18403964.123908516</v>
      </c>
      <c r="I15" s="305">
        <f t="shared" si="1"/>
        <v>-0.79329110254921598</v>
      </c>
    </row>
    <row r="16" spans="1:9" x14ac:dyDescent="0.2">
      <c r="A16" s="94" t="s">
        <v>432</v>
      </c>
      <c r="B16" s="174">
        <v>25800000</v>
      </c>
      <c r="C16" s="561"/>
      <c r="D16" s="301">
        <f>B16/B25</f>
        <v>1.0194484858135198</v>
      </c>
      <c r="E16" s="383">
        <f>'Projeções - RPPS'!F69</f>
        <v>1575408.65</v>
      </c>
      <c r="F16" s="546"/>
      <c r="G16" s="301">
        <f>E16/B26</f>
        <v>6.3353672196806918E-2</v>
      </c>
      <c r="H16" s="304">
        <f t="shared" si="0"/>
        <v>-24224591.350000001</v>
      </c>
      <c r="I16" s="305">
        <f t="shared" si="1"/>
        <v>-0.93893764922480627</v>
      </c>
    </row>
    <row r="17" spans="1:9" x14ac:dyDescent="0.2">
      <c r="A17" s="94" t="s">
        <v>433</v>
      </c>
      <c r="B17" s="174">
        <f>'[1]Metas Cons'!$B$21</f>
        <v>25271555.319469441</v>
      </c>
      <c r="C17" s="561"/>
      <c r="D17" s="301">
        <f>B17/B25</f>
        <v>0.9985677831234776</v>
      </c>
      <c r="E17" s="383">
        <f>E16-'Projeções - RPPS'!F48-'Projeções - RPPS'!F65</f>
        <v>1575408.65</v>
      </c>
      <c r="F17" s="546"/>
      <c r="G17" s="301">
        <f>E17/B26</f>
        <v>6.3353672196806918E-2</v>
      </c>
      <c r="H17" s="304">
        <f t="shared" si="0"/>
        <v>-23696146.669469442</v>
      </c>
      <c r="I17" s="305">
        <f t="shared" si="1"/>
        <v>-0.93766079570154948</v>
      </c>
    </row>
    <row r="18" spans="1:9" x14ac:dyDescent="0.2">
      <c r="A18" s="331" t="s">
        <v>434</v>
      </c>
      <c r="B18" s="389">
        <f>B11-B13</f>
        <v>-2463661.5858268328</v>
      </c>
      <c r="C18" s="561"/>
      <c r="D18" s="387">
        <f>B18/B25</f>
        <v>-9.7347909815042613E-2</v>
      </c>
      <c r="E18" s="389">
        <f>E11-E13</f>
        <v>1926349.0599999987</v>
      </c>
      <c r="F18" s="546"/>
      <c r="G18" s="387">
        <f>E18/B26</f>
        <v>7.7466431889825577E-2</v>
      </c>
      <c r="H18" s="388">
        <f t="shared" si="0"/>
        <v>4390010.6458268315</v>
      </c>
      <c r="I18" s="305">
        <f t="shared" si="1"/>
        <v>-1.7819048976052829</v>
      </c>
    </row>
    <row r="19" spans="1:9" ht="14.25" customHeight="1" x14ac:dyDescent="0.2">
      <c r="A19" s="331" t="s">
        <v>435</v>
      </c>
      <c r="B19" s="389">
        <f>B18+(B15-B17)</f>
        <v>-4535707.8413877562</v>
      </c>
      <c r="C19" s="561"/>
      <c r="D19" s="387">
        <f>B19/B25</f>
        <v>-0.17922172445718046</v>
      </c>
      <c r="E19" s="389">
        <f>E18+(E15-E17)</f>
        <v>5146485.3499999996</v>
      </c>
      <c r="F19" s="546"/>
      <c r="G19" s="387">
        <f>E19/B26</f>
        <v>0.2069613784522315</v>
      </c>
      <c r="H19" s="388">
        <f t="shared" si="0"/>
        <v>9682193.1913877558</v>
      </c>
      <c r="I19" s="305">
        <f t="shared" si="1"/>
        <v>-2.1346597995221335</v>
      </c>
    </row>
    <row r="20" spans="1:9" x14ac:dyDescent="0.2">
      <c r="A20" s="94" t="s">
        <v>436</v>
      </c>
      <c r="B20" s="174">
        <f>'[1]Metas Cons'!$B$32</f>
        <v>746666.66399999987</v>
      </c>
      <c r="C20" s="561"/>
      <c r="D20" s="301">
        <f>B20/B25</f>
        <v>2.9503418605512866E-2</v>
      </c>
      <c r="E20" s="384">
        <f>Dívida!C7</f>
        <v>666666.72</v>
      </c>
      <c r="F20" s="546"/>
      <c r="G20" s="301">
        <f>E20/B26</f>
        <v>2.6809415349725585E-2</v>
      </c>
      <c r="H20" s="304">
        <f t="shared" si="0"/>
        <v>-79999.943999999901</v>
      </c>
      <c r="I20" s="305">
        <f t="shared" si="1"/>
        <v>-0.10714278252550982</v>
      </c>
    </row>
    <row r="21" spans="1:9" x14ac:dyDescent="0.2">
      <c r="A21" s="94" t="s">
        <v>437</v>
      </c>
      <c r="B21" s="174">
        <f>'[1]Metas Cons'!$B$33</f>
        <v>-2324065.5810000002</v>
      </c>
      <c r="C21" s="561"/>
      <c r="D21" s="301">
        <f>B21/B25</f>
        <v>-9.1831982072936746E-2</v>
      </c>
      <c r="E21" s="384">
        <f>Dívida!C15</f>
        <v>-3573862.3599999994</v>
      </c>
      <c r="F21" s="546"/>
      <c r="G21" s="301">
        <f>E21/B26</f>
        <v>-0.14371972912040742</v>
      </c>
      <c r="H21" s="304">
        <f t="shared" si="0"/>
        <v>-1249796.7789999992</v>
      </c>
      <c r="I21" s="305">
        <f t="shared" si="1"/>
        <v>0.53776312906894641</v>
      </c>
    </row>
    <row r="22" spans="1:9" x14ac:dyDescent="0.2">
      <c r="A22" s="333" t="s">
        <v>438</v>
      </c>
      <c r="B22" s="390">
        <v>444777.81</v>
      </c>
      <c r="C22" s="562"/>
      <c r="D22" s="301">
        <f>B22/B25</f>
        <v>1.7574731198757881E-2</v>
      </c>
      <c r="E22" s="391">
        <f>Dívida!B15-Dívida!C15</f>
        <v>1248040.0199999991</v>
      </c>
      <c r="F22" s="547"/>
      <c r="G22" s="301">
        <f>E22/B26</f>
        <v>5.0188830888783238E-2</v>
      </c>
      <c r="H22" s="388">
        <f t="shared" si="0"/>
        <v>803262.20999999903</v>
      </c>
      <c r="I22" s="305">
        <f t="shared" si="1"/>
        <v>1.8059853525516461</v>
      </c>
    </row>
    <row r="23" spans="1:9" ht="21.75" customHeight="1" x14ac:dyDescent="0.2">
      <c r="A23" s="558" t="s">
        <v>413</v>
      </c>
      <c r="B23" s="559"/>
      <c r="C23" s="559"/>
      <c r="D23" s="520"/>
      <c r="E23" s="520"/>
      <c r="F23" s="520"/>
      <c r="G23" s="520"/>
      <c r="H23" s="520"/>
      <c r="I23" s="520"/>
    </row>
    <row r="24" spans="1:9" ht="21.75" customHeight="1" x14ac:dyDescent="0.2">
      <c r="A24" s="93"/>
      <c r="B24" s="330"/>
      <c r="C24" s="330"/>
      <c r="D24" s="330"/>
      <c r="E24" s="330"/>
      <c r="F24" s="330"/>
      <c r="G24" s="330"/>
      <c r="H24" s="330"/>
      <c r="I24" s="330"/>
    </row>
    <row r="25" spans="1:9" ht="21.75" customHeight="1" x14ac:dyDescent="0.2">
      <c r="A25" s="331" t="s">
        <v>439</v>
      </c>
      <c r="B25" s="556">
        <v>25307801.579999998</v>
      </c>
      <c r="C25" s="557"/>
    </row>
    <row r="26" spans="1:9" ht="21.75" customHeight="1" x14ac:dyDescent="0.2">
      <c r="A26" s="331" t="s">
        <v>440</v>
      </c>
      <c r="B26" s="556">
        <v>24866887.670000002</v>
      </c>
      <c r="C26" s="557"/>
    </row>
    <row r="27" spans="1:9" ht="44.25" customHeight="1" x14ac:dyDescent="0.2">
      <c r="A27" s="517" t="s">
        <v>441</v>
      </c>
      <c r="B27" s="520"/>
      <c r="C27" s="520"/>
      <c r="D27" s="520"/>
      <c r="E27" s="520"/>
      <c r="F27" s="520"/>
      <c r="G27" s="520"/>
      <c r="H27" s="520"/>
      <c r="I27" s="520"/>
    </row>
    <row r="28" spans="1:9" ht="13.5" customHeight="1" x14ac:dyDescent="0.2">
      <c r="C28" s="164"/>
    </row>
  </sheetData>
  <mergeCells count="19">
    <mergeCell ref="F10:F22"/>
    <mergeCell ref="A27:I27"/>
    <mergeCell ref="A6:B6"/>
    <mergeCell ref="H6:I6"/>
    <mergeCell ref="A7:A9"/>
    <mergeCell ref="C7:C9"/>
    <mergeCell ref="D7:D9"/>
    <mergeCell ref="F7:F9"/>
    <mergeCell ref="G7:G9"/>
    <mergeCell ref="B25:C25"/>
    <mergeCell ref="B26:C26"/>
    <mergeCell ref="A23:I23"/>
    <mergeCell ref="C10:C22"/>
    <mergeCell ref="H7:I7"/>
    <mergeCell ref="A1:I1"/>
    <mergeCell ref="A2:I2"/>
    <mergeCell ref="A3:I3"/>
    <mergeCell ref="A4:I4"/>
    <mergeCell ref="A5:I5"/>
  </mergeCells>
  <pageMargins left="0.511811024" right="0.511811024" top="0.78740157499999996" bottom="0.78740157499999996" header="0.31496062000000002" footer="0.31496062000000002"/>
  <pageSetup paperSize="9" orientation="portrait"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BD507-0A91-456C-89E5-489B4747F613}">
  <dimension ref="A1:L59"/>
  <sheetViews>
    <sheetView topLeftCell="A13" workbookViewId="0">
      <selection activeCell="G17" sqref="G17"/>
    </sheetView>
  </sheetViews>
  <sheetFormatPr defaultRowHeight="12.75" x14ac:dyDescent="0.2"/>
  <cols>
    <col min="1" max="1" width="55.7109375" style="88" customWidth="1"/>
    <col min="2" max="3" width="12.7109375" style="88" bestFit="1" customWidth="1"/>
    <col min="4" max="4" width="8.85546875" style="88" customWidth="1"/>
    <col min="5" max="5" width="12.28515625" style="88" bestFit="1" customWidth="1"/>
    <col min="6" max="6" width="8.140625" style="88" customWidth="1"/>
    <col min="7" max="7" width="12.28515625" style="88" bestFit="1" customWidth="1"/>
    <col min="8" max="8" width="10.28515625" style="88" bestFit="1" customWidth="1"/>
    <col min="9" max="9" width="12.28515625" style="88" bestFit="1" customWidth="1"/>
    <col min="10" max="10" width="8.85546875" style="88" customWidth="1"/>
    <col min="11" max="11" width="12.28515625" style="88" bestFit="1" customWidth="1"/>
    <col min="12" max="12" width="9.5703125" style="88" bestFit="1" customWidth="1"/>
    <col min="13" max="16384" width="9.140625" style="88"/>
  </cols>
  <sheetData>
    <row r="1" spans="1:12" x14ac:dyDescent="0.2">
      <c r="A1" s="567" t="str">
        <f>Parâmetros!A7</f>
        <v>Município de :   NOVA PÁDUA</v>
      </c>
      <c r="B1" s="568"/>
      <c r="C1" s="568"/>
      <c r="D1" s="568"/>
      <c r="E1" s="568"/>
      <c r="F1" s="568"/>
      <c r="G1" s="568"/>
      <c r="H1" s="568"/>
      <c r="I1" s="568"/>
      <c r="J1" s="568"/>
      <c r="K1" s="568"/>
      <c r="L1" s="568"/>
    </row>
    <row r="2" spans="1:12" x14ac:dyDescent="0.2">
      <c r="A2" s="568" t="s">
        <v>368</v>
      </c>
      <c r="B2" s="568"/>
      <c r="C2" s="568"/>
      <c r="D2" s="568"/>
      <c r="E2" s="568"/>
      <c r="F2" s="568"/>
      <c r="G2" s="568"/>
      <c r="H2" s="568"/>
      <c r="I2" s="568"/>
      <c r="J2" s="568"/>
      <c r="K2" s="568"/>
      <c r="L2" s="568"/>
    </row>
    <row r="3" spans="1:12" x14ac:dyDescent="0.2">
      <c r="A3" s="568" t="s">
        <v>442</v>
      </c>
      <c r="B3" s="568"/>
      <c r="C3" s="568"/>
      <c r="D3" s="568"/>
      <c r="E3" s="568"/>
      <c r="F3" s="568"/>
      <c r="G3" s="568"/>
      <c r="H3" s="568"/>
      <c r="I3" s="568"/>
      <c r="J3" s="568"/>
      <c r="K3" s="568"/>
      <c r="L3" s="568"/>
    </row>
    <row r="4" spans="1:12" x14ac:dyDescent="0.2">
      <c r="A4" s="569" t="s">
        <v>443</v>
      </c>
      <c r="B4" s="569"/>
      <c r="C4" s="569"/>
      <c r="D4" s="569"/>
      <c r="E4" s="569"/>
      <c r="F4" s="569"/>
      <c r="G4" s="569"/>
      <c r="H4" s="569"/>
      <c r="I4" s="569"/>
      <c r="J4" s="569"/>
      <c r="K4" s="569"/>
      <c r="L4" s="569"/>
    </row>
    <row r="5" spans="1:12" x14ac:dyDescent="0.2">
      <c r="A5" s="568">
        <f>Parâmetros!E10</f>
        <v>2025</v>
      </c>
      <c r="B5" s="568"/>
      <c r="C5" s="568"/>
      <c r="D5" s="568"/>
      <c r="E5" s="568"/>
      <c r="F5" s="568"/>
      <c r="G5" s="568"/>
      <c r="H5" s="568"/>
      <c r="I5" s="568"/>
      <c r="J5" s="568"/>
      <c r="K5" s="568"/>
      <c r="L5" s="568"/>
    </row>
    <row r="6" spans="1:12" ht="15.75" customHeight="1" x14ac:dyDescent="0.2">
      <c r="A6" s="570" t="s">
        <v>444</v>
      </c>
      <c r="B6" s="570"/>
      <c r="C6" s="570"/>
      <c r="D6" s="570"/>
      <c r="E6" s="570"/>
      <c r="F6" s="570"/>
      <c r="L6" s="223">
        <v>1</v>
      </c>
    </row>
    <row r="7" spans="1:12" x14ac:dyDescent="0.2">
      <c r="A7" s="224"/>
      <c r="B7" s="565" t="s">
        <v>445</v>
      </c>
      <c r="C7" s="566"/>
      <c r="D7" s="566"/>
      <c r="E7" s="566"/>
      <c r="F7" s="566"/>
      <c r="G7" s="566"/>
      <c r="H7" s="566"/>
      <c r="I7" s="566"/>
      <c r="J7" s="566"/>
      <c r="K7" s="566"/>
      <c r="L7" s="566"/>
    </row>
    <row r="8" spans="1:12" s="90" customFormat="1" x14ac:dyDescent="0.2">
      <c r="A8" s="130" t="s">
        <v>325</v>
      </c>
      <c r="B8" s="225">
        <f>Parâmetros!B10</f>
        <v>2022</v>
      </c>
      <c r="C8" s="129">
        <f>B8+1</f>
        <v>2023</v>
      </c>
      <c r="D8" s="226" t="s">
        <v>422</v>
      </c>
      <c r="E8" s="130">
        <f>C8+1</f>
        <v>2024</v>
      </c>
      <c r="F8" s="226" t="s">
        <v>422</v>
      </c>
      <c r="G8" s="130">
        <f>E8+1</f>
        <v>2025</v>
      </c>
      <c r="H8" s="226" t="s">
        <v>422</v>
      </c>
      <c r="I8" s="130">
        <f>G8+1</f>
        <v>2026</v>
      </c>
      <c r="J8" s="226" t="s">
        <v>422</v>
      </c>
      <c r="K8" s="130">
        <f>I8+1</f>
        <v>2027</v>
      </c>
      <c r="L8" s="129" t="s">
        <v>422</v>
      </c>
    </row>
    <row r="9" spans="1:12" x14ac:dyDescent="0.2">
      <c r="A9" s="94" t="s">
        <v>425</v>
      </c>
      <c r="B9" s="173">
        <f>'[2]Metas Cons'!$B$12-[2]MetasRPPS!$B$12</f>
        <v>16840722.667047314</v>
      </c>
      <c r="C9" s="336">
        <f>' Dem-2-Avalia'!B10</f>
        <v>21339506.826908514</v>
      </c>
      <c r="D9" s="340">
        <f>(C9/B9)-1</f>
        <v>0.26713723922691801</v>
      </c>
      <c r="E9" s="173">
        <f>'[3] Dem-1-Metas'!$B$11-'[3]Dem-1A-Metas RPPS'!$B$11</f>
        <v>21600000.001137622</v>
      </c>
      <c r="F9" s="340">
        <f>(E9/C9)-1</f>
        <v>1.2207085025068842E-2</v>
      </c>
      <c r="G9" s="341">
        <f>' Dem-1-Metas'!B11</f>
        <v>28373000.003743801</v>
      </c>
      <c r="H9" s="340">
        <f>(G9/E9)-1</f>
        <v>0.31356481491895649</v>
      </c>
      <c r="I9" s="336">
        <f>' Dem-1-Metas'!F11</f>
        <v>32620624.071448021</v>
      </c>
      <c r="J9" s="340">
        <f t="shared" ref="J9:J21" si="0">(I9/G9)-1</f>
        <v>0.14970655437013169</v>
      </c>
      <c r="K9" s="336">
        <f>' Dem-1-Metas'!J11</f>
        <v>36456696.013355322</v>
      </c>
      <c r="L9" s="340">
        <f>(K9/I9)-1</f>
        <v>0.11759652217275995</v>
      </c>
    </row>
    <row r="10" spans="1:12" x14ac:dyDescent="0.2">
      <c r="A10" s="94" t="s">
        <v>427</v>
      </c>
      <c r="B10" s="173">
        <f>'[2]Metas Cons'!$B$13-[2]MetasRPPS!$B$13</f>
        <v>16808660.857047316</v>
      </c>
      <c r="C10" s="336">
        <f>' Dem-2-Avalia'!B11</f>
        <v>21257409.566908516</v>
      </c>
      <c r="D10" s="340">
        <f t="shared" ref="D10:D21" si="1">(C10/B10)-1</f>
        <v>0.26467002622615166</v>
      </c>
      <c r="E10" s="173">
        <f>'[3] Dem-1-Metas'!$B$12-'[3]Dem-1A-Metas RPPS'!$B$12</f>
        <v>23325826.626076788</v>
      </c>
      <c r="F10" s="340">
        <f t="shared" ref="F10:F21" si="2">(E10/C10)-1</f>
        <v>9.7303345106930728E-2</v>
      </c>
      <c r="G10" s="342">
        <f>' Dem-1-Metas'!B12</f>
        <v>27928995.526596829</v>
      </c>
      <c r="H10" s="340">
        <f t="shared" ref="H10:H21" si="3">(G10/E10)-1</f>
        <v>0.19734215529896781</v>
      </c>
      <c r="I10" s="339">
        <f>' Dem-1-Metas'!F12</f>
        <v>32150924.884813096</v>
      </c>
      <c r="J10" s="340">
        <f t="shared" si="0"/>
        <v>0.15116653064718055</v>
      </c>
      <c r="K10" s="339">
        <f>' Dem-1-Metas'!J12</f>
        <v>35959791.909404479</v>
      </c>
      <c r="L10" s="340">
        <f t="shared" ref="L10:L21" si="4">(K10/I10)-1</f>
        <v>0.11846835007818246</v>
      </c>
    </row>
    <row r="11" spans="1:12" x14ac:dyDescent="0.2">
      <c r="A11" s="94" t="s">
        <v>428</v>
      </c>
      <c r="B11" s="173">
        <f>'[2]Metas Cons'!$B$20-[2]MetasRPPS!$B$14</f>
        <v>17989749.925124649</v>
      </c>
      <c r="C11" s="336">
        <f>' Dem-2-Avalia'!B12</f>
        <v>22597515.836735345</v>
      </c>
      <c r="D11" s="340">
        <f t="shared" si="1"/>
        <v>0.25613284958316451</v>
      </c>
      <c r="E11" s="173">
        <f>'[3] Dem-1-Metas'!$B$18-'[3]Dem-1A-Metas RPPS'!$B$13</f>
        <v>23746491.537785202</v>
      </c>
      <c r="F11" s="340">
        <f t="shared" si="2"/>
        <v>5.0845221631929949E-2</v>
      </c>
      <c r="G11" s="342">
        <f>' Dem-1-Metas'!B18</f>
        <v>28172999.997433186</v>
      </c>
      <c r="H11" s="340">
        <f t="shared" si="3"/>
        <v>0.18640684046334011</v>
      </c>
      <c r="I11" s="339">
        <f>' Dem-1-Metas'!F18</f>
        <v>33176469.604201674</v>
      </c>
      <c r="J11" s="340">
        <f t="shared" si="0"/>
        <v>0.17759804093367237</v>
      </c>
      <c r="K11" s="339">
        <f>' Dem-1-Metas'!J18</f>
        <v>38001067.445162117</v>
      </c>
      <c r="L11" s="340">
        <f t="shared" si="4"/>
        <v>0.14542227966140886</v>
      </c>
    </row>
    <row r="12" spans="1:12" x14ac:dyDescent="0.2">
      <c r="A12" s="94" t="s">
        <v>429</v>
      </c>
      <c r="B12" s="173">
        <f>'[2]Metas Cons'!$B$21-[2]MetasRPPS!$B$15</f>
        <v>18989417.900393635</v>
      </c>
      <c r="C12" s="336">
        <f>' Dem-2-Avalia'!B13</f>
        <v>23721071.152735349</v>
      </c>
      <c r="D12" s="340">
        <f t="shared" si="1"/>
        <v>0.24917315934384865</v>
      </c>
      <c r="E12" s="173">
        <f>'[3] Dem-1-Metas'!$B$19-'[3]Dem-1A-Metas RPPS'!$B$14</f>
        <v>23335220.628195021</v>
      </c>
      <c r="F12" s="340">
        <f t="shared" si="2"/>
        <v>-1.626615096999251E-2</v>
      </c>
      <c r="G12" s="342">
        <f>' Dem-1-Metas'!B19</f>
        <v>27730318.914950229</v>
      </c>
      <c r="H12" s="340">
        <f t="shared" si="3"/>
        <v>0.18834612094666836</v>
      </c>
      <c r="I12" s="339">
        <f>' Dem-1-Metas'!F19</f>
        <v>32806836.101895258</v>
      </c>
      <c r="J12" s="340">
        <f t="shared" si="0"/>
        <v>0.18306739286031548</v>
      </c>
      <c r="K12" s="339">
        <f>' Dem-1-Metas'!J19</f>
        <v>37792424.325403884</v>
      </c>
      <c r="L12" s="340">
        <f t="shared" si="4"/>
        <v>0.15196796814004898</v>
      </c>
    </row>
    <row r="13" spans="1:12" x14ac:dyDescent="0.2">
      <c r="A13" s="94" t="s">
        <v>430</v>
      </c>
      <c r="B13" s="173">
        <v>20400000</v>
      </c>
      <c r="C13" s="336">
        <f>' Dem-2-Avalia'!B14</f>
        <v>25800000</v>
      </c>
      <c r="D13" s="340">
        <f t="shared" si="1"/>
        <v>0.26470588235294112</v>
      </c>
      <c r="E13" s="173">
        <f>'[3] Dem-1-Metas'!$B$11</f>
        <v>25600000.001137622</v>
      </c>
      <c r="F13" s="340">
        <f t="shared" si="2"/>
        <v>-7.7519379404022981E-3</v>
      </c>
      <c r="G13" s="342">
        <f>' Dem-1-Metas'!B25</f>
        <v>4627000.0006663296</v>
      </c>
      <c r="H13" s="340">
        <f t="shared" si="3"/>
        <v>-0.81925781248200336</v>
      </c>
      <c r="I13" s="339">
        <f>' Dem-1-Metas'!F25</f>
        <v>4985781.6214490905</v>
      </c>
      <c r="J13" s="340">
        <f t="shared" si="0"/>
        <v>7.7540873293947099E-2</v>
      </c>
      <c r="K13" s="339">
        <f>' Dem-1-Metas'!J25</f>
        <v>5335746.1956551392</v>
      </c>
      <c r="L13" s="340">
        <f t="shared" si="4"/>
        <v>7.0192519604244774E-2</v>
      </c>
    </row>
    <row r="14" spans="1:12" x14ac:dyDescent="0.2">
      <c r="A14" s="94" t="s">
        <v>431</v>
      </c>
      <c r="B14" s="335">
        <f>'[2]Metas Cons'!$B$13</f>
        <v>18518910.927047316</v>
      </c>
      <c r="C14" s="339">
        <f>' Dem-2-Avalia'!B15</f>
        <v>23199509.063908517</v>
      </c>
      <c r="D14" s="340">
        <f t="shared" si="1"/>
        <v>0.25274694366746342</v>
      </c>
      <c r="E14" s="335">
        <f>'[3] Dem-1-Metas'!$B$12</f>
        <v>25251831.45607679</v>
      </c>
      <c r="F14" s="340">
        <f t="shared" si="2"/>
        <v>8.8464044067254388E-2</v>
      </c>
      <c r="G14" s="342">
        <f>' Dem-1-Metas'!B26</f>
        <v>2627000.0006663296</v>
      </c>
      <c r="H14" s="340">
        <f t="shared" si="3"/>
        <v>-0.89596794176154104</v>
      </c>
      <c r="I14" s="339">
        <f>' Dem-1-Metas'!F26</f>
        <v>2864181.6214490905</v>
      </c>
      <c r="J14" s="340">
        <f t="shared" si="0"/>
        <v>9.0286113712447991E-2</v>
      </c>
      <c r="K14" s="339">
        <f>' Dem-1-Metas'!J26</f>
        <v>3085152.9156551389</v>
      </c>
      <c r="L14" s="340">
        <f t="shared" si="4"/>
        <v>7.7149889012363415E-2</v>
      </c>
    </row>
    <row r="15" spans="1:12" x14ac:dyDescent="0.2">
      <c r="A15" s="94" t="s">
        <v>432</v>
      </c>
      <c r="B15" s="173">
        <f>'[2]Metas Cons'!$B$20</f>
        <v>20399999.995124649</v>
      </c>
      <c r="C15" s="336">
        <f>' Dem-2-Avalia'!B16</f>
        <v>25800000</v>
      </c>
      <c r="D15" s="340">
        <f t="shared" si="1"/>
        <v>0.26470588265519046</v>
      </c>
      <c r="E15" s="173">
        <f>'[3] Dem-1-Metas'!$B$18</f>
        <v>25600000.001155589</v>
      </c>
      <c r="F15" s="340">
        <f t="shared" si="2"/>
        <v>-7.7519379397058552E-3</v>
      </c>
      <c r="G15" s="342">
        <f>' Dem-1-Metas'!B27</f>
        <v>2000000.0031999999</v>
      </c>
      <c r="H15" s="340">
        <f t="shared" si="3"/>
        <v>-0.92187499987852661</v>
      </c>
      <c r="I15" s="339">
        <f>' Dem-1-Metas'!F27</f>
        <v>2092790.3604426668</v>
      </c>
      <c r="J15" s="340">
        <f t="shared" si="0"/>
        <v>4.6395178547101068E-2</v>
      </c>
      <c r="K15" s="339">
        <f>' Dem-1-Metas'!J27</f>
        <v>2208720.8926694579</v>
      </c>
      <c r="L15" s="340">
        <f t="shared" si="4"/>
        <v>5.5395196011066128E-2</v>
      </c>
    </row>
    <row r="16" spans="1:12" x14ac:dyDescent="0.2">
      <c r="A16" s="94" t="s">
        <v>433</v>
      </c>
      <c r="B16" s="173">
        <f>'[2]Metas Cons'!$B$21</f>
        <v>20159999.995124649</v>
      </c>
      <c r="C16" s="336">
        <f>' Dem-2-Avalia'!B17</f>
        <v>25271555.319469441</v>
      </c>
      <c r="D16" s="340">
        <f t="shared" si="1"/>
        <v>0.25354937130857813</v>
      </c>
      <c r="E16" s="173">
        <f>'[3] Dem-1-Metas'!$B$19</f>
        <v>25188729.091565408</v>
      </c>
      <c r="F16" s="340">
        <f t="shared" si="2"/>
        <v>-3.277448770247382E-3</v>
      </c>
      <c r="G16" s="342">
        <f>' Dem-1-Metas'!B28</f>
        <v>2000000.0031999999</v>
      </c>
      <c r="H16" s="340">
        <f t="shared" si="3"/>
        <v>-0.92059940793639683</v>
      </c>
      <c r="I16" s="339">
        <f>' Dem-1-Metas'!F28</f>
        <v>2092790.3604426668</v>
      </c>
      <c r="J16" s="340">
        <f t="shared" si="0"/>
        <v>4.6395178547101068E-2</v>
      </c>
      <c r="K16" s="339">
        <f>' Dem-1-Metas'!J28</f>
        <v>2208720.8926694579</v>
      </c>
      <c r="L16" s="340">
        <f t="shared" si="4"/>
        <v>5.5395196011066128E-2</v>
      </c>
    </row>
    <row r="17" spans="1:12" x14ac:dyDescent="0.2">
      <c r="A17" s="332" t="s">
        <v>434</v>
      </c>
      <c r="B17" s="338">
        <f>B10-B12</f>
        <v>-2180757.0433463193</v>
      </c>
      <c r="C17" s="338">
        <f>' Dem-2-Avalia'!B18</f>
        <v>-2463661.5858268328</v>
      </c>
      <c r="D17" s="343">
        <f t="shared" si="1"/>
        <v>0.12972767569119181</v>
      </c>
      <c r="E17" s="338">
        <f>E10-E12</f>
        <v>-9394.0021182335913</v>
      </c>
      <c r="F17" s="343">
        <f t="shared" si="2"/>
        <v>-0.9961869754465158</v>
      </c>
      <c r="G17" s="344">
        <f>' Dem-1-Metas'!B29</f>
        <v>198676.61164660007</v>
      </c>
      <c r="H17" s="343">
        <f t="shared" si="3"/>
        <v>-22.149304539858715</v>
      </c>
      <c r="I17" s="337">
        <f>' Dem-1-Metas'!F29</f>
        <v>-655911.21708216146</v>
      </c>
      <c r="J17" s="343">
        <f t="shared" si="0"/>
        <v>-4.3014012653330145</v>
      </c>
      <c r="K17" s="337">
        <f>' Dem-1-Metas'!J29</f>
        <v>-1832632.4159994051</v>
      </c>
      <c r="L17" s="343">
        <f t="shared" si="4"/>
        <v>1.7940251184480718</v>
      </c>
    </row>
    <row r="18" spans="1:12" ht="16.5" customHeight="1" x14ac:dyDescent="0.2">
      <c r="A18" s="332" t="s">
        <v>435</v>
      </c>
      <c r="B18" s="338">
        <f>B17+(B14-B16)</f>
        <v>-3821846.1114236526</v>
      </c>
      <c r="C18" s="338">
        <f>' Dem-2-Avalia'!B19</f>
        <v>-4535707.8413877562</v>
      </c>
      <c r="D18" s="343">
        <f t="shared" si="1"/>
        <v>0.18678453008098406</v>
      </c>
      <c r="E18" s="338">
        <f>E17+(E14-E16)</f>
        <v>53708.362393148243</v>
      </c>
      <c r="F18" s="343">
        <f t="shared" si="2"/>
        <v>-1.0118412305799476</v>
      </c>
      <c r="G18" s="344">
        <f>' Dem-1-Metas'!B30</f>
        <v>825676.60911292979</v>
      </c>
      <c r="H18" s="343">
        <f t="shared" si="3"/>
        <v>14.37333428766512</v>
      </c>
      <c r="I18" s="337">
        <f>' Dem-1-Metas'!F30</f>
        <v>115480.04392426228</v>
      </c>
      <c r="J18" s="343">
        <f t="shared" si="0"/>
        <v>-0.86013889378757025</v>
      </c>
      <c r="K18" s="337">
        <f>' Dem-1-Metas'!J30</f>
        <v>-956200.39301372413</v>
      </c>
      <c r="L18" s="343">
        <f t="shared" si="4"/>
        <v>-9.2802219372279531</v>
      </c>
    </row>
    <row r="19" spans="1:12" x14ac:dyDescent="0.2">
      <c r="A19" s="94" t="s">
        <v>436</v>
      </c>
      <c r="B19" s="173">
        <f>'[2]Metas Cons'!$B$32</f>
        <v>974800</v>
      </c>
      <c r="C19" s="336">
        <f>' Dem-2-Avalia'!B20</f>
        <v>746666.66399999987</v>
      </c>
      <c r="D19" s="340">
        <f t="shared" si="1"/>
        <v>-0.23403091505949947</v>
      </c>
      <c r="E19" s="173">
        <f>'[3] Dem-1-Metas'!$B$26</f>
        <v>389386.74772799993</v>
      </c>
      <c r="F19" s="340">
        <f t="shared" si="2"/>
        <v>-0.47849988957321388</v>
      </c>
      <c r="G19" s="342">
        <f>' Dem-1-Metas'!B33</f>
        <v>220671.89999999994</v>
      </c>
      <c r="H19" s="340">
        <f t="shared" si="3"/>
        <v>-0.43328348669393635</v>
      </c>
      <c r="I19" s="339">
        <f>' Dem-1-Metas'!F33</f>
        <v>0</v>
      </c>
      <c r="J19" s="340">
        <f t="shared" si="0"/>
        <v>-1</v>
      </c>
      <c r="K19" s="339">
        <f>' Dem-1-Metas'!J33</f>
        <v>0</v>
      </c>
      <c r="L19" s="340" t="e">
        <f t="shared" si="4"/>
        <v>#DIV/0!</v>
      </c>
    </row>
    <row r="20" spans="1:12" x14ac:dyDescent="0.2">
      <c r="A20" s="94" t="s">
        <v>437</v>
      </c>
      <c r="B20" s="173">
        <f>'[2]Metas Cons'!$B$33</f>
        <v>-998832.0149999999</v>
      </c>
      <c r="C20" s="336">
        <f>' Dem-2-Avalia'!B21</f>
        <v>-2324065.5810000002</v>
      </c>
      <c r="D20" s="340">
        <f t="shared" si="1"/>
        <v>1.3267832289096186</v>
      </c>
      <c r="E20" s="173">
        <f>'[3] Dem-1-Metas'!$B$27</f>
        <v>-3074622.0489386674</v>
      </c>
      <c r="F20" s="340">
        <f t="shared" si="2"/>
        <v>0.32294977993509</v>
      </c>
      <c r="G20" s="342">
        <f>' Dem-1-Metas'!B34</f>
        <v>-3297006.25</v>
      </c>
      <c r="H20" s="340">
        <f t="shared" si="3"/>
        <v>7.2328955403834883E-2</v>
      </c>
      <c r="I20" s="339">
        <f>' Dem-1-Metas'!F34</f>
        <v>-3603852.3</v>
      </c>
      <c r="J20" s="340">
        <f t="shared" si="0"/>
        <v>9.3068082597659529E-2</v>
      </c>
      <c r="K20" s="339">
        <f>' Dem-1-Metas'!J34</f>
        <v>-3391626.7066666661</v>
      </c>
      <c r="L20" s="340">
        <f t="shared" si="4"/>
        <v>-5.8888538060600792E-2</v>
      </c>
    </row>
    <row r="21" spans="1:12" ht="11.25" customHeight="1" x14ac:dyDescent="0.2">
      <c r="A21" s="333" t="s">
        <v>438</v>
      </c>
      <c r="B21" s="385">
        <v>986065.47</v>
      </c>
      <c r="C21" s="337">
        <f>B20-C20</f>
        <v>1325233.5660000003</v>
      </c>
      <c r="D21" s="386">
        <f t="shared" si="1"/>
        <v>0.34396103130961508</v>
      </c>
      <c r="E21" s="345">
        <f>'[3] Dem-1-Metas'!$B$28</f>
        <v>-482133.06893866695</v>
      </c>
      <c r="F21" s="343">
        <f t="shared" si="2"/>
        <v>-1.3638098832599799</v>
      </c>
      <c r="G21" s="337">
        <f>' Dem-1-Metas'!B35</f>
        <v>687325.89000000013</v>
      </c>
      <c r="H21" s="343">
        <f t="shared" si="3"/>
        <v>-2.4255937505241651</v>
      </c>
      <c r="I21" s="337">
        <f>' Dem-1-Metas'!F35</f>
        <v>306846.04999999981</v>
      </c>
      <c r="J21" s="343">
        <f t="shared" si="0"/>
        <v>-0.5535654127622055</v>
      </c>
      <c r="K21" s="337">
        <f>' Dem-1-Metas'!J35</f>
        <v>-212225.59333333373</v>
      </c>
      <c r="L21" s="343">
        <f t="shared" si="4"/>
        <v>-1.691635409135408</v>
      </c>
    </row>
    <row r="22" spans="1:12" ht="11.25" customHeight="1" x14ac:dyDescent="0.2">
      <c r="A22" s="93"/>
    </row>
    <row r="23" spans="1:12" x14ac:dyDescent="0.2">
      <c r="A23" s="224"/>
      <c r="B23" s="565" t="s">
        <v>446</v>
      </c>
      <c r="C23" s="566"/>
      <c r="D23" s="566"/>
      <c r="E23" s="566"/>
      <c r="F23" s="566"/>
      <c r="G23" s="566"/>
      <c r="H23" s="566"/>
      <c r="I23" s="566"/>
      <c r="J23" s="566"/>
      <c r="K23" s="566"/>
      <c r="L23" s="566"/>
    </row>
    <row r="24" spans="1:12" s="90" customFormat="1" x14ac:dyDescent="0.2">
      <c r="A24" s="130" t="s">
        <v>325</v>
      </c>
      <c r="B24" s="225">
        <f>B8</f>
        <v>2022</v>
      </c>
      <c r="C24" s="226">
        <f>C8</f>
        <v>2023</v>
      </c>
      <c r="D24" s="130" t="s">
        <v>422</v>
      </c>
      <c r="E24" s="226">
        <f t="shared" ref="E24:E37" si="5">E8</f>
        <v>2024</v>
      </c>
      <c r="F24" s="130" t="s">
        <v>422</v>
      </c>
      <c r="G24" s="226">
        <f>G8</f>
        <v>2025</v>
      </c>
      <c r="H24" s="130" t="s">
        <v>422</v>
      </c>
      <c r="I24" s="226">
        <f>I8</f>
        <v>2026</v>
      </c>
      <c r="J24" s="130" t="s">
        <v>422</v>
      </c>
      <c r="K24" s="226">
        <f>K8</f>
        <v>2027</v>
      </c>
      <c r="L24" s="130" t="s">
        <v>422</v>
      </c>
    </row>
    <row r="25" spans="1:12" s="90" customFormat="1" x14ac:dyDescent="0.2">
      <c r="A25" s="94" t="s">
        <v>425</v>
      </c>
      <c r="B25" s="346">
        <f>B9*(1+Parâmetros!C11)*(1+Parâmetros!D11)</f>
        <v>18637088.872495916</v>
      </c>
      <c r="C25" s="346">
        <f>C9*(1+Parâmetros!D11)</f>
        <v>22321124.140946306</v>
      </c>
      <c r="D25" s="340">
        <f>(C25/B25)-1</f>
        <v>0.19767224879670908</v>
      </c>
      <c r="E25" s="339">
        <f t="shared" si="5"/>
        <v>21600000.001137622</v>
      </c>
      <c r="F25" s="340">
        <f>(E25/C25)-1</f>
        <v>-3.2306802079284158E-2</v>
      </c>
      <c r="G25" s="342">
        <f>' Dem-1-Metas'!C11</f>
        <v>27281730.772830576</v>
      </c>
      <c r="H25" s="340">
        <f>(G25/E25)-1</f>
        <v>0.26304309126822734</v>
      </c>
      <c r="I25" s="339">
        <f>' Dem-1-Metas'!G11</f>
        <v>30159600.657773685</v>
      </c>
      <c r="J25" s="340">
        <f>(I25/G25)-1</f>
        <v>0.10548707150974201</v>
      </c>
      <c r="K25" s="339">
        <f>' Dem-1-Metas'!K11</f>
        <v>32409870.005045339</v>
      </c>
      <c r="L25" s="340">
        <f>(K25/I25)-1</f>
        <v>7.4612040550730674E-2</v>
      </c>
    </row>
    <row r="26" spans="1:12" s="90" customFormat="1" x14ac:dyDescent="0.2">
      <c r="A26" s="94" t="s">
        <v>427</v>
      </c>
      <c r="B26" s="346">
        <f>B10*(1+Parâmetros!C11)*(1+Parâmetros!D11)</f>
        <v>18601607.093346838</v>
      </c>
      <c r="C26" s="346">
        <f>C10*(1+Parâmetros!D11)</f>
        <v>22235250.406986307</v>
      </c>
      <c r="D26" s="340">
        <f t="shared" ref="D26:D37" si="6">(C26/B26)-1</f>
        <v>0.19534028943870663</v>
      </c>
      <c r="E26" s="339">
        <f t="shared" si="5"/>
        <v>23325826.626076788</v>
      </c>
      <c r="F26" s="340">
        <f t="shared" ref="F26:F37" si="7">(E26/C26)-1</f>
        <v>4.9047175054427239E-2</v>
      </c>
      <c r="G26" s="342">
        <f>' Dem-1-Metas'!C12</f>
        <v>29890025.318975888</v>
      </c>
      <c r="H26" s="340">
        <f t="shared" ref="H26:H37" si="8">(G26/E26)-1</f>
        <v>0.28141333630426391</v>
      </c>
      <c r="I26" s="339">
        <f>' Dem-1-Metas'!J12</f>
        <v>35959791.909404479</v>
      </c>
      <c r="J26" s="340">
        <f t="shared" ref="J26:J37" si="9">(I26/G26)-1</f>
        <v>0.20306997152575712</v>
      </c>
      <c r="K26" s="339">
        <f>' Dem-1-Metas'!K12</f>
        <v>31968124.066024408</v>
      </c>
      <c r="L26" s="340">
        <f t="shared" ref="L26:L37" si="10">(K26/I26)-1</f>
        <v>-0.11100364132908513</v>
      </c>
    </row>
    <row r="27" spans="1:12" s="90" customFormat="1" x14ac:dyDescent="0.2">
      <c r="A27" s="94" t="s">
        <v>428</v>
      </c>
      <c r="B27" s="346">
        <f>B11*(1+Parâmetros!C11)*(1+Parâmetros!D11)</f>
        <v>19908680.570137847</v>
      </c>
      <c r="C27" s="346">
        <f>C11*(1+Parâmetros!D11)</f>
        <v>23637001.565225173</v>
      </c>
      <c r="D27" s="340">
        <f t="shared" si="6"/>
        <v>0.18727112436972071</v>
      </c>
      <c r="E27" s="339">
        <f t="shared" si="5"/>
        <v>23746491.537785202</v>
      </c>
      <c r="F27" s="340">
        <f t="shared" si="7"/>
        <v>4.6321430515583462E-3</v>
      </c>
      <c r="G27" s="342">
        <f>' Dem-1-Metas'!C18</f>
        <v>27089423.074454986</v>
      </c>
      <c r="H27" s="340">
        <f t="shared" si="8"/>
        <v>0.14077580813782697</v>
      </c>
      <c r="I27" s="339">
        <f>' Dem-1-Metas'!G18</f>
        <v>30673511.098559238</v>
      </c>
      <c r="J27" s="340">
        <f t="shared" si="9"/>
        <v>0.13230580859006946</v>
      </c>
      <c r="K27" s="339">
        <f>' Dem-1-Metas'!K18</f>
        <v>33782810.584356964</v>
      </c>
      <c r="L27" s="340">
        <f t="shared" si="10"/>
        <v>0.10136757659750839</v>
      </c>
    </row>
    <row r="28" spans="1:12" s="90" customFormat="1" x14ac:dyDescent="0.2">
      <c r="A28" s="94" t="s">
        <v>429</v>
      </c>
      <c r="B28" s="346">
        <f>B12*(1+Parâmetros!C11)*(1+Parâmetros!D11)</f>
        <v>21014981.128992822</v>
      </c>
      <c r="C28" s="346">
        <f>C12*(1+Parâmetros!D11)</f>
        <v>24812240.425761174</v>
      </c>
      <c r="D28" s="340">
        <f t="shared" si="6"/>
        <v>0.1806929672437132</v>
      </c>
      <c r="E28" s="339">
        <f t="shared" si="5"/>
        <v>23335220.628195021</v>
      </c>
      <c r="F28" s="340">
        <f t="shared" si="7"/>
        <v>-5.9527868996168687E-2</v>
      </c>
      <c r="G28" s="342">
        <f>' Dem-1-Metas'!C19</f>
        <v>26663768.187452145</v>
      </c>
      <c r="H28" s="340">
        <f t="shared" si="8"/>
        <v>0.14264050091025804</v>
      </c>
      <c r="I28" s="339">
        <f>' Dem-1-Metas'!G19</f>
        <v>30331764.147462327</v>
      </c>
      <c r="J28" s="340">
        <f t="shared" si="9"/>
        <v>0.13756480082722611</v>
      </c>
      <c r="K28" s="339">
        <f>' Dem-1-Metas'!K19</f>
        <v>33597327.610630162</v>
      </c>
      <c r="L28" s="340">
        <f t="shared" si="10"/>
        <v>0.10766150782697048</v>
      </c>
    </row>
    <row r="29" spans="1:12" s="90" customFormat="1" x14ac:dyDescent="0.2">
      <c r="A29" s="94" t="s">
        <v>430</v>
      </c>
      <c r="B29" s="346">
        <f>B13*(1+Parâmetros!C11)*(1+Parâmetros!D11)</f>
        <v>22576027.199999999</v>
      </c>
      <c r="C29" s="346">
        <f>C13*(1+Parâmetros!D11)</f>
        <v>26986800</v>
      </c>
      <c r="D29" s="340">
        <f t="shared" si="6"/>
        <v>0.19537417991771378</v>
      </c>
      <c r="E29" s="339">
        <f t="shared" si="5"/>
        <v>25600000.001137622</v>
      </c>
      <c r="F29" s="340">
        <f t="shared" si="7"/>
        <v>-5.138808598508815E-2</v>
      </c>
      <c r="G29" s="342">
        <f>' Dem-1-Metas'!C25</f>
        <v>4449038.4621791625</v>
      </c>
      <c r="H29" s="340">
        <f t="shared" si="8"/>
        <v>-0.82620943507884936</v>
      </c>
      <c r="I29" s="339">
        <f>' Dem-1-Metas'!G25</f>
        <v>4609635.3748604748</v>
      </c>
      <c r="J29" s="340">
        <f t="shared" si="9"/>
        <v>3.6096993551872014E-2</v>
      </c>
      <c r="K29" s="339">
        <f>' Dem-1-Metas'!K25</f>
        <v>4743458.9387296056</v>
      </c>
      <c r="L29" s="340">
        <f t="shared" si="10"/>
        <v>2.9031268850235659E-2</v>
      </c>
    </row>
    <row r="30" spans="1:12" s="90" customFormat="1" x14ac:dyDescent="0.2">
      <c r="A30" s="94" t="s">
        <v>431</v>
      </c>
      <c r="B30" s="346">
        <f>B14*(1+Parâmetros!C11)*(1+Parâmetros!D11)</f>
        <v>20494286.117813598</v>
      </c>
      <c r="C30" s="346">
        <f>C14*(1+Parâmetros!D11)</f>
        <v>24266686.480848309</v>
      </c>
      <c r="D30" s="340">
        <f t="shared" si="6"/>
        <v>0.18407083522444556</v>
      </c>
      <c r="E30" s="339">
        <f t="shared" si="5"/>
        <v>25251831.45607679</v>
      </c>
      <c r="F30" s="340">
        <f t="shared" si="7"/>
        <v>4.0596600446705988E-2</v>
      </c>
      <c r="G30" s="342">
        <f>' Dem-1-Metas'!C26</f>
        <v>2525961.53910224</v>
      </c>
      <c r="H30" s="340">
        <f t="shared" si="8"/>
        <v>-0.89996917477071259</v>
      </c>
      <c r="I30" s="339">
        <f>' Dem-1-Metas'!G26</f>
        <v>2648096.9133220138</v>
      </c>
      <c r="J30" s="340">
        <f t="shared" si="9"/>
        <v>4.8352032415815094E-2</v>
      </c>
      <c r="K30" s="339">
        <f>' Dem-1-Metas'!K26</f>
        <v>2742689.7079603747</v>
      </c>
      <c r="L30" s="340">
        <f t="shared" si="10"/>
        <v>3.5721047127272643E-2</v>
      </c>
    </row>
    <row r="31" spans="1:12" s="90" customFormat="1" x14ac:dyDescent="0.2">
      <c r="A31" s="94" t="s">
        <v>432</v>
      </c>
      <c r="B31" s="346">
        <f>B15*(1+Parâmetros!C11)*(1+Parâmetros!D11)</f>
        <v>22576027.194604609</v>
      </c>
      <c r="C31" s="346">
        <f>C15*(1+Parâmetros!D11)</f>
        <v>26986800</v>
      </c>
      <c r="D31" s="340">
        <f t="shared" si="6"/>
        <v>0.19537418020339348</v>
      </c>
      <c r="E31" s="339">
        <f t="shared" si="5"/>
        <v>25600000.001155589</v>
      </c>
      <c r="F31" s="340">
        <f t="shared" si="7"/>
        <v>-5.138808598442246E-2</v>
      </c>
      <c r="G31" s="342">
        <f>' Dem-1-Metas'!C27</f>
        <v>1923076.9261538461</v>
      </c>
      <c r="H31" s="340">
        <f t="shared" si="8"/>
        <v>-0.92487980757550636</v>
      </c>
      <c r="I31" s="339">
        <f>' Dem-1-Metas'!G27</f>
        <v>1934902.3302909269</v>
      </c>
      <c r="J31" s="340">
        <f t="shared" si="9"/>
        <v>6.1492101414433176E-3</v>
      </c>
      <c r="K31" s="339">
        <f>' Dem-1-Metas'!K27</f>
        <v>1963544.8309035206</v>
      </c>
      <c r="L31" s="340">
        <f t="shared" si="10"/>
        <v>1.4803073087563678E-2</v>
      </c>
    </row>
    <row r="32" spans="1:12" x14ac:dyDescent="0.2">
      <c r="A32" s="94" t="s">
        <v>433</v>
      </c>
      <c r="B32" s="346">
        <f>B16*(1+Parâmetros!C11)*(1+Parâmetros!D11)</f>
        <v>22310426.874604609</v>
      </c>
      <c r="C32" s="346">
        <f>C16*(1+Parâmetros!D11)</f>
        <v>26434046.864165038</v>
      </c>
      <c r="D32" s="340">
        <f t="shared" si="6"/>
        <v>0.18482927344856148</v>
      </c>
      <c r="E32" s="339">
        <f t="shared" si="5"/>
        <v>25188729.091565408</v>
      </c>
      <c r="F32" s="340">
        <f t="shared" si="7"/>
        <v>-4.7110371673276696E-2</v>
      </c>
      <c r="G32" s="344">
        <f>' Dem-1-Metas'!C28</f>
        <v>1923076.9261538461</v>
      </c>
      <c r="H32" s="340">
        <f t="shared" si="8"/>
        <v>-0.92365327686192</v>
      </c>
      <c r="I32" s="337">
        <f>' Dem-1-Metas'!G28</f>
        <v>1934902.3302909269</v>
      </c>
      <c r="J32" s="340">
        <f t="shared" si="9"/>
        <v>6.1492101414433176E-3</v>
      </c>
      <c r="K32" s="337">
        <f>' Dem-1-Metas'!K28</f>
        <v>1963544.8309035206</v>
      </c>
      <c r="L32" s="340">
        <f t="shared" si="10"/>
        <v>1.4803073087563678E-2</v>
      </c>
    </row>
    <row r="33" spans="1:12" x14ac:dyDescent="0.2">
      <c r="A33" s="94" t="s">
        <v>434</v>
      </c>
      <c r="B33" s="346">
        <f>B17*(1+Parâmetros!C11)*(1+Parâmetros!D11)</f>
        <v>-2413374.0356459846</v>
      </c>
      <c r="C33" s="346">
        <f>C17*(1+Parâmetros!D11)</f>
        <v>-2576990.0187748671</v>
      </c>
      <c r="D33" s="340">
        <f t="shared" si="6"/>
        <v>6.7795534679765401E-2</v>
      </c>
      <c r="E33" s="339">
        <f t="shared" si="5"/>
        <v>-9394.0021182335913</v>
      </c>
      <c r="F33" s="340">
        <f t="shared" si="7"/>
        <v>-0.99635466103873405</v>
      </c>
      <c r="G33" s="342">
        <f>' Dem-1-Metas'!C29</f>
        <v>3226257.1315237433</v>
      </c>
      <c r="H33" s="340">
        <f t="shared" si="8"/>
        <v>-344.4379821207018</v>
      </c>
      <c r="I33" s="339">
        <f>' Dem-1-Metas'!G29</f>
        <v>-606426.79094134644</v>
      </c>
      <c r="J33" s="340">
        <f t="shared" si="9"/>
        <v>-1.1879660443105893</v>
      </c>
      <c r="K33" s="339">
        <f>' Dem-1-Metas'!K29</f>
        <v>-1629203.5446057543</v>
      </c>
      <c r="L33" s="340">
        <f t="shared" si="10"/>
        <v>1.6865626138923844</v>
      </c>
    </row>
    <row r="34" spans="1:12" ht="17.25" customHeight="1" x14ac:dyDescent="0.2">
      <c r="A34" s="94" t="s">
        <v>435</v>
      </c>
      <c r="B34" s="346">
        <f>B18*(1+Parâmetros!C11)*(1+Parâmetros!D11)</f>
        <v>-4229514.7924369909</v>
      </c>
      <c r="C34" s="346">
        <f>C18*(1+Parâmetros!D11)</f>
        <v>-4744350.4020915935</v>
      </c>
      <c r="D34" s="340">
        <f t="shared" si="6"/>
        <v>0.12172450858316086</v>
      </c>
      <c r="E34" s="339">
        <f t="shared" si="5"/>
        <v>53708.362393148243</v>
      </c>
      <c r="F34" s="340">
        <f t="shared" si="7"/>
        <v>-1.0113204881261448</v>
      </c>
      <c r="G34" s="342">
        <f>' Dem-1-Metas'!C30</f>
        <v>3829141.7444721372</v>
      </c>
      <c r="H34" s="340">
        <f t="shared" si="8"/>
        <v>70.295075363545877</v>
      </c>
      <c r="I34" s="339">
        <f>' Dem-1-Metas'!G30</f>
        <v>106767.79208974051</v>
      </c>
      <c r="J34" s="340">
        <f t="shared" si="9"/>
        <v>-0.97211704365766205</v>
      </c>
      <c r="K34" s="339">
        <f>' Dem-1-Metas'!K30</f>
        <v>-850058.66754890024</v>
      </c>
      <c r="L34" s="340">
        <f t="shared" si="10"/>
        <v>-8.9617518627191295</v>
      </c>
    </row>
    <row r="35" spans="1:12" x14ac:dyDescent="0.2">
      <c r="A35" s="94" t="s">
        <v>436</v>
      </c>
      <c r="B35" s="346">
        <f>B19*(1+Parâmetros!C11)*(1+Parâmetros!D11)</f>
        <v>1078779.9664</v>
      </c>
      <c r="C35" s="346">
        <f>C19*(1+Parâmetros!D11)</f>
        <v>781013.33054399991</v>
      </c>
      <c r="D35" s="340">
        <f t="shared" si="6"/>
        <v>-0.27602165884640784</v>
      </c>
      <c r="E35" s="339">
        <f t="shared" si="5"/>
        <v>389386.74772799993</v>
      </c>
      <c r="F35" s="340">
        <f t="shared" si="7"/>
        <v>-0.50143392884628479</v>
      </c>
      <c r="G35" s="342">
        <f>' Dem-1-Metas'!C33</f>
        <v>212184.51923076916</v>
      </c>
      <c r="H35" s="340">
        <f t="shared" si="8"/>
        <v>-0.45508027566724651</v>
      </c>
      <c r="I35" s="339">
        <f>' Dem-1-Metas'!G33</f>
        <v>0</v>
      </c>
      <c r="J35" s="340">
        <f t="shared" si="9"/>
        <v>-1</v>
      </c>
      <c r="K35" s="339">
        <f>' Dem-1-Metas'!K33</f>
        <v>0</v>
      </c>
      <c r="L35" s="340" t="e">
        <f t="shared" si="10"/>
        <v>#DIV/0!</v>
      </c>
    </row>
    <row r="36" spans="1:12" x14ac:dyDescent="0.2">
      <c r="A36" s="94" t="s">
        <v>437</v>
      </c>
      <c r="B36" s="346">
        <f>B20*(1+Parâmetros!C11)*(1+Parâmetros!D11)</f>
        <v>-1105375.4283760202</v>
      </c>
      <c r="C36" s="346">
        <f>C20*(1+Parâmetros!D11)</f>
        <v>-2430972.5977260005</v>
      </c>
      <c r="D36" s="340">
        <f t="shared" si="6"/>
        <v>1.1992280046404709</v>
      </c>
      <c r="E36" s="339">
        <f t="shared" si="5"/>
        <v>-3074622.0489386674</v>
      </c>
      <c r="F36" s="340">
        <f t="shared" si="7"/>
        <v>0.26477034410620437</v>
      </c>
      <c r="G36" s="344">
        <f>' Dem-1-Metas'!C34</f>
        <v>-3170198.317307692</v>
      </c>
      <c r="H36" s="340">
        <f t="shared" si="8"/>
        <v>3.1085534042148977E-2</v>
      </c>
      <c r="I36" s="337">
        <f>' Dem-1-Metas'!G34</f>
        <v>-3331964.0347633129</v>
      </c>
      <c r="J36" s="340">
        <f t="shared" si="9"/>
        <v>5.1027002497749496E-2</v>
      </c>
      <c r="K36" s="337">
        <f>' Dem-1-Metas'!K34</f>
        <v>-3015143.7921976931</v>
      </c>
      <c r="L36" s="340">
        <f t="shared" si="10"/>
        <v>-9.5085132750577617E-2</v>
      </c>
    </row>
    <row r="37" spans="1:12" x14ac:dyDescent="0.2">
      <c r="A37" s="222" t="s">
        <v>438</v>
      </c>
      <c r="B37" s="346">
        <f>B21*(1+Parâmetros!C11)*(1+Parâmetros!D11)</f>
        <v>1091247.10155396</v>
      </c>
      <c r="C37" s="346">
        <f>C21*(1+Parâmetros!D11)</f>
        <v>1386194.3100360003</v>
      </c>
      <c r="D37" s="340">
        <f t="shared" si="6"/>
        <v>0.27028452864802932</v>
      </c>
      <c r="E37" s="339">
        <f t="shared" si="5"/>
        <v>-482133.06893866695</v>
      </c>
      <c r="F37" s="340">
        <f t="shared" si="7"/>
        <v>-1.3478105958508411</v>
      </c>
      <c r="G37" s="342">
        <f>' Dem-1-Metas'!C35</f>
        <v>660890.27884615399</v>
      </c>
      <c r="H37" s="340">
        <f t="shared" si="8"/>
        <v>-2.3707632216578514</v>
      </c>
      <c r="I37" s="339">
        <f>' Dem-1-Metas'!G35</f>
        <v>283696.42196745542</v>
      </c>
      <c r="J37" s="340">
        <f t="shared" si="9"/>
        <v>-0.570735973809813</v>
      </c>
      <c r="K37" s="339">
        <f>' Dem-1-Metas'!K35</f>
        <v>-188667.77969010806</v>
      </c>
      <c r="L37" s="340">
        <f t="shared" si="10"/>
        <v>-1.6650340472455847</v>
      </c>
    </row>
    <row r="38" spans="1:12" x14ac:dyDescent="0.2">
      <c r="A38" s="93"/>
      <c r="G38" s="334"/>
    </row>
    <row r="39" spans="1:12" ht="30" customHeight="1" x14ac:dyDescent="0.2">
      <c r="A39" s="563" t="s">
        <v>447</v>
      </c>
      <c r="B39" s="564"/>
      <c r="C39" s="564"/>
      <c r="D39" s="564"/>
      <c r="E39" s="564"/>
      <c r="F39" s="564"/>
      <c r="G39" s="564"/>
      <c r="H39" s="564"/>
      <c r="I39" s="564"/>
      <c r="J39" s="564"/>
      <c r="K39" s="564"/>
      <c r="L39" s="564"/>
    </row>
    <row r="58" spans="2:2" x14ac:dyDescent="0.2">
      <c r="B58" s="88">
        <f>250*4.5</f>
        <v>1125</v>
      </c>
    </row>
    <row r="59" spans="2:2" x14ac:dyDescent="0.2">
      <c r="B59" s="88">
        <f>B58*0.4</f>
        <v>450</v>
      </c>
    </row>
  </sheetData>
  <mergeCells count="9">
    <mergeCell ref="A39:L39"/>
    <mergeCell ref="B7:L7"/>
    <mergeCell ref="B23:L23"/>
    <mergeCell ref="A1:L1"/>
    <mergeCell ref="A2:L2"/>
    <mergeCell ref="A3:L3"/>
    <mergeCell ref="A4:L4"/>
    <mergeCell ref="A5:L5"/>
    <mergeCell ref="A6:F6"/>
  </mergeCells>
  <pageMargins left="0.511811024" right="0.511811024" top="0.78740157499999996" bottom="0.78740157499999996" header="0.31496062000000002" footer="0.31496062000000002"/>
  <pageSetup paperSize="9" orientation="portrait"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7442E6F8E99D547932347400F8A4643" ma:contentTypeVersion="15" ma:contentTypeDescription="Crie um novo documento." ma:contentTypeScope="" ma:versionID="8798908f2b6bbdc3d019396b53231ff0">
  <xsd:schema xmlns:xsd="http://www.w3.org/2001/XMLSchema" xmlns:xs="http://www.w3.org/2001/XMLSchema" xmlns:p="http://schemas.microsoft.com/office/2006/metadata/properties" xmlns:ns2="6895757c-a34f-4682-aba1-6b8a1e936109" xmlns:ns3="ff5be268-706f-4c28-ab3b-84e3344dd248" targetNamespace="http://schemas.microsoft.com/office/2006/metadata/properties" ma:root="true" ma:fieldsID="eab39d54db90abc41d352131e695e261" ns2:_="" ns3:_="">
    <xsd:import namespace="6895757c-a34f-4682-aba1-6b8a1e936109"/>
    <xsd:import namespace="ff5be268-706f-4c28-ab3b-84e3344dd24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95757c-a34f-4682-aba1-6b8a1e9361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descrip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Marcações de imagem" ma:readOnly="false" ma:fieldId="{5cf76f15-5ced-4ddc-b409-7134ff3c332f}" ma:taxonomyMulti="true" ma:sspId="31a15f92-5b47-4215-87b2-1170ea39a227"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f5be268-706f-4c28-ab3b-84e3344dd24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3208340-8ade-49de-ab85-72a4f53c27e2}" ma:internalName="TaxCatchAll" ma:showField="CatchAllData" ma:web="ff5be268-706f-4c28-ab3b-84e3344dd248">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Props1.xml><?xml version="1.0" encoding="utf-8"?>
<ds:datastoreItem xmlns:ds="http://schemas.openxmlformats.org/officeDocument/2006/customXml" ds:itemID="{8504491A-31DE-430A-84C8-43F3531D20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95757c-a34f-4682-aba1-6b8a1e936109"/>
    <ds:schemaRef ds:uri="ff5be268-706f-4c28-ab3b-84e3344dd2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780B26-57BA-44C3-B2E2-55BF1B7F84B0}">
  <ds:schemaRefs>
    <ds:schemaRef ds:uri="http://schemas.microsoft.com/sharepoint/v3/contenttype/forms"/>
  </ds:schemaRefs>
</ds:datastoreItem>
</file>

<file path=customXml/itemProps3.xml><?xml version="1.0" encoding="utf-8"?>
<ds:datastoreItem xmlns:ds="http://schemas.openxmlformats.org/officeDocument/2006/customXml" ds:itemID="{577499CE-7CA8-4A36-A704-B240DC7A794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16</vt:i4>
      </vt:variant>
      <vt:variant>
        <vt:lpstr>Intervalos Nomeados</vt:lpstr>
      </vt:variant>
      <vt:variant>
        <vt:i4>2</vt:i4>
      </vt:variant>
    </vt:vector>
  </HeadingPairs>
  <TitlesOfParts>
    <vt:vector size="18" baseType="lpstr">
      <vt:lpstr>Parâmetros</vt:lpstr>
      <vt:lpstr>Projeções</vt:lpstr>
      <vt:lpstr>Projeções - RPPS</vt:lpstr>
      <vt:lpstr>RCL</vt:lpstr>
      <vt:lpstr>Pessoal</vt:lpstr>
      <vt:lpstr>Dívida</vt:lpstr>
      <vt:lpstr> Dem-1-Metas</vt:lpstr>
      <vt:lpstr> Dem-2-Avalia</vt:lpstr>
      <vt:lpstr>Dem-3-Comp</vt:lpstr>
      <vt:lpstr>Dem-4-Patr</vt:lpstr>
      <vt:lpstr>Dem-5-Alien</vt:lpstr>
      <vt:lpstr>Dem-6-RPPS</vt:lpstr>
      <vt:lpstr>Dem-7-Renúnci</vt:lpstr>
      <vt:lpstr>Dem-8-Docc</vt:lpstr>
      <vt:lpstr>Anexo Riscos</vt:lpstr>
      <vt:lpstr>Anexo IV - Cons do Patrimônio</vt:lpstr>
      <vt:lpstr>Parâmetros!Area_de_impressao</vt:lpstr>
      <vt:lpstr>Projeções!Area_de_impressao</vt:lpstr>
    </vt:vector>
  </TitlesOfParts>
  <Manager/>
  <Company>DPM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de Metas e Riscos Fiscais</dc:title>
  <dc:subject/>
  <dc:creator>Lourenço de Wallau - Deleg de Prefeituras Municipais</dc:creator>
  <cp:keywords/>
  <dc:description/>
  <cp:lastModifiedBy>Andreia</cp:lastModifiedBy>
  <cp:revision/>
  <dcterms:created xsi:type="dcterms:W3CDTF">2000-07-04T17:38:30Z</dcterms:created>
  <dcterms:modified xsi:type="dcterms:W3CDTF">2024-08-26T21:14:45Z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BUILTIN\administrators</vt:lpwstr>
  </property>
  <property fmtid="{D5CDD505-2E9C-101B-9397-08002B2CF9AE}" pid="3" name="Order">
    <vt:lpwstr>20475800.0000000</vt:lpwstr>
  </property>
  <property fmtid="{D5CDD505-2E9C-101B-9397-08002B2CF9AE}" pid="4" name="display_urn:schemas-microsoft-com:office:office#Author">
    <vt:lpwstr>BUILTIN\administrators</vt:lpwstr>
  </property>
  <property fmtid="{D5CDD505-2E9C-101B-9397-08002B2CF9AE}" pid="5" name="lcf76f155ced4ddcb4097134ff3c332f">
    <vt:lpwstr/>
  </property>
  <property fmtid="{D5CDD505-2E9C-101B-9397-08002B2CF9AE}" pid="6" name="TaxCatchAll">
    <vt:lpwstr/>
  </property>
</Properties>
</file>